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3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-SEMOB\09- TERMOS DE REFERÊNCIA REALIZADOS - ENGENHARIA\2025\39 - PROC. 2025-QXX52- BRINQUEDO-PRAÇA\"/>
    </mc:Choice>
  </mc:AlternateContent>
  <xr:revisionPtr revIDLastSave="0" documentId="13_ncr:1_{521EC395-3539-463A-A6AA-1EC0AC16F01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LANILHA ORÇAMENTÁRIA" sheetId="2" r:id="rId1"/>
    <sheet name="COMPOSIÇÃO DO BDI" sheetId="6" r:id="rId2"/>
    <sheet name="CRONOGRAMA" sheetId="7" r:id="rId3"/>
    <sheet name="REAJUSTE" sheetId="5" r:id="rId4"/>
  </sheets>
  <definedNames>
    <definedName name="_xlnm.Print_Area" localSheetId="1">'COMPOSIÇÃO DO BDI'!$A$1:$D$40</definedName>
    <definedName name="_xlnm.Print_Area" localSheetId="2">CRONOGRAMA!$A$1:$H$27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7" l="1"/>
  <c r="G14" i="7" s="1"/>
  <c r="C13" i="7"/>
  <c r="E13" i="7" s="1"/>
  <c r="C12" i="7"/>
  <c r="E12" i="7" s="1"/>
  <c r="C11" i="7"/>
  <c r="E11" i="7" s="1"/>
  <c r="C10" i="7"/>
  <c r="E10" i="7" s="1"/>
  <c r="C25" i="6"/>
  <c r="C21" i="6" s="1"/>
  <c r="C29" i="6" s="1"/>
  <c r="E14" i="7" l="1"/>
  <c r="G11" i="7"/>
  <c r="C15" i="7"/>
  <c r="F6" i="5"/>
  <c r="F5" i="5"/>
  <c r="E6" i="5"/>
  <c r="E5" i="5"/>
  <c r="C16" i="7" l="1"/>
  <c r="D14" i="7"/>
  <c r="D12" i="7"/>
  <c r="D13" i="7"/>
  <c r="D10" i="7"/>
  <c r="D11" i="7"/>
  <c r="G6" i="5"/>
  <c r="D15" i="7" l="1"/>
  <c r="D16" i="7" s="1"/>
  <c r="H51" i="2"/>
  <c r="H46" i="2"/>
  <c r="H41" i="2"/>
  <c r="H33" i="2"/>
  <c r="H24" i="2"/>
  <c r="H17" i="2"/>
  <c r="H9" i="2"/>
  <c r="H42" i="2"/>
  <c r="H11" i="2"/>
  <c r="H55" i="2"/>
  <c r="H49" i="2"/>
  <c r="H45" i="2"/>
  <c r="H40" i="2"/>
  <c r="H31" i="2"/>
  <c r="H20" i="2"/>
  <c r="H16" i="2"/>
  <c r="H47" i="2"/>
  <c r="H26" i="2"/>
  <c r="H53" i="2"/>
  <c r="H48" i="2"/>
  <c r="H44" i="2"/>
  <c r="H39" i="2"/>
  <c r="H27" i="2"/>
  <c r="H19" i="2"/>
  <c r="H15" i="2"/>
  <c r="H52" i="2"/>
  <c r="H35" i="2"/>
  <c r="H18" i="2"/>
  <c r="G15" i="7" l="1"/>
  <c r="H15" i="7" s="1"/>
  <c r="E15" i="7"/>
  <c r="F15" i="7" s="1"/>
  <c r="I55" i="2"/>
  <c r="J55" i="2" s="1"/>
  <c r="I49" i="2"/>
  <c r="J49" i="2" s="1"/>
  <c r="I45" i="2"/>
  <c r="J45" i="2" s="1"/>
  <c r="I40" i="2"/>
  <c r="J40" i="2" s="1"/>
  <c r="I31" i="2"/>
  <c r="J31" i="2" s="1"/>
  <c r="I20" i="2"/>
  <c r="J20" i="2" s="1"/>
  <c r="I16" i="2"/>
  <c r="J16" i="2" s="1"/>
  <c r="I46" i="2"/>
  <c r="J46" i="2" s="1"/>
  <c r="I9" i="2"/>
  <c r="J9" i="2" s="1"/>
  <c r="I53" i="2"/>
  <c r="J53" i="2" s="1"/>
  <c r="I48" i="2"/>
  <c r="J48" i="2" s="1"/>
  <c r="I44" i="2"/>
  <c r="J44" i="2" s="1"/>
  <c r="I39" i="2"/>
  <c r="J39" i="2" s="1"/>
  <c r="I27" i="2"/>
  <c r="J27" i="2" s="1"/>
  <c r="I19" i="2"/>
  <c r="J19" i="2" s="1"/>
  <c r="I15" i="2"/>
  <c r="J15" i="2" s="1"/>
  <c r="I41" i="2"/>
  <c r="J41" i="2" s="1"/>
  <c r="I17" i="2"/>
  <c r="J17" i="2" s="1"/>
  <c r="I52" i="2"/>
  <c r="J52" i="2" s="1"/>
  <c r="I47" i="2"/>
  <c r="J47" i="2" s="1"/>
  <c r="I42" i="2"/>
  <c r="J42" i="2" s="1"/>
  <c r="I35" i="2"/>
  <c r="J35" i="2" s="1"/>
  <c r="I26" i="2"/>
  <c r="J26" i="2" s="1"/>
  <c r="I18" i="2"/>
  <c r="J18" i="2" s="1"/>
  <c r="I11" i="2"/>
  <c r="J11" i="2" s="1"/>
  <c r="J12" i="2" s="1"/>
  <c r="I51" i="2"/>
  <c r="J51" i="2" s="1"/>
  <c r="I33" i="2"/>
  <c r="J33" i="2" s="1"/>
  <c r="I24" i="2"/>
  <c r="J24" i="2" s="1"/>
  <c r="J28" i="2" s="1"/>
  <c r="E16" i="7" l="1"/>
  <c r="G16" i="7" s="1"/>
  <c r="F16" i="7"/>
  <c r="H16" i="7" s="1"/>
  <c r="J21" i="2"/>
  <c r="J56" i="2"/>
  <c r="J36" i="2"/>
  <c r="J5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Cremilson Inácio de Souza</author>
    <author>c094707</author>
  </authors>
  <commentList>
    <comment ref="B7" authorId="0" shapeId="0" xr:uid="{15B30D05-ED4F-4006-9F4D-F191ADCD7439}">
      <text>
        <r>
          <rPr>
            <b/>
            <sz val="9"/>
            <color indexed="81"/>
            <rFont val="Tahoma"/>
            <family val="2"/>
          </rPr>
          <t>Escolha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1" shapeId="0" xr:uid="{DD062794-D478-42F4-9547-41BE47CE6B11}">
      <text>
        <r>
          <rPr>
            <sz val="10"/>
            <color indexed="81"/>
            <rFont val="Tahoma"/>
            <family val="2"/>
          </rPr>
          <t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</t>
        </r>
      </text>
    </comment>
    <comment ref="C12" authorId="1" shapeId="0" xr:uid="{4456160B-BB42-438D-983E-DC85AFD6FE51}">
      <text>
        <r>
          <rPr>
            <sz val="10"/>
            <color indexed="81"/>
            <rFont val="Tahoma"/>
            <family val="2"/>
          </rPr>
          <t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</t>
        </r>
      </text>
    </comment>
    <comment ref="C13" authorId="1" shapeId="0" xr:uid="{DEE9A044-ADE8-4A28-BED7-30178546DEE6}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15" authorId="1" shapeId="0" xr:uid="{DEF067F1-CD12-4D5A-BB73-45375D3C4831}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
</t>
        </r>
      </text>
    </comment>
    <comment ref="C17" authorId="1" shapeId="0" xr:uid="{0520B33B-02EC-4864-80A0-4A66F307FCE8}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C21" authorId="1" shapeId="0" xr:uid="{F13B3007-C03E-4F6A-830A-5DAEB387AAF0}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C23" authorId="1" shapeId="0" xr:uid="{134FC843-4381-4DC4-B316-CEF1E7372980}">
      <text>
        <r>
          <rPr>
            <sz val="10"/>
            <color indexed="81"/>
            <rFont val="Tahoma"/>
            <family val="2"/>
          </rPr>
          <t>COFINS (Contribuição para Financiamento da Seguridade Socia Financia a seguridade social pelo sistema S (SESC, SESI, SENAC, SENAI, SEST, SENAT, SENAR E SEBRAE).</t>
        </r>
      </text>
    </comment>
    <comment ref="C24" authorId="1" shapeId="0" xr:uid="{2B9C24C8-2236-4B2E-A520-8F610ABBBACC}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econômico.
</t>
        </r>
      </text>
    </comment>
  </commentList>
</comments>
</file>

<file path=xl/sharedStrings.xml><?xml version="1.0" encoding="utf-8"?>
<sst xmlns="http://schemas.openxmlformats.org/spreadsheetml/2006/main" count="183" uniqueCount="128">
  <si>
    <r>
      <rPr>
        <b/>
        <i/>
        <sz val="10"/>
        <rFont val="Arial"/>
        <family val="2"/>
      </rPr>
      <t>Planilha Orçamentária (Todas Planilhas)</t>
    </r>
  </si>
  <si>
    <r>
      <rPr>
        <b/>
        <sz val="8"/>
        <rFont val="Arial"/>
        <family val="2"/>
      </rPr>
      <t>Obs: VALORES REFERENCIAIS APRESENTADOS EM REAL</t>
    </r>
  </si>
  <si>
    <r>
      <rPr>
        <b/>
        <sz val="8"/>
        <rFont val="Arial"/>
        <family val="2"/>
      </rPr>
      <t>Data Base (Io) :</t>
    </r>
  </si>
  <si>
    <r>
      <rPr>
        <b/>
        <sz val="8"/>
        <rFont val="Arial"/>
        <family val="2"/>
      </rPr>
      <t>Planilha :</t>
    </r>
  </si>
  <si>
    <r>
      <rPr>
        <b/>
        <sz val="8"/>
        <rFont val="Arial"/>
        <family val="2"/>
      </rPr>
      <t>1 - BRINQUEDOPRAÇA</t>
    </r>
  </si>
  <si>
    <r>
      <rPr>
        <b/>
        <sz val="8"/>
        <rFont val="Arial"/>
        <family val="2"/>
      </rPr>
      <t>BDI :</t>
    </r>
  </si>
  <si>
    <r>
      <rPr>
        <b/>
        <sz val="8"/>
        <rFont val="Arial"/>
        <family val="2"/>
      </rPr>
      <t>Local :</t>
    </r>
  </si>
  <si>
    <r>
      <rPr>
        <sz val="8"/>
        <rFont val="Arial MT"/>
        <family val="2"/>
      </rPr>
      <t>CENTRO, VITÓRIA/ES</t>
    </r>
  </si>
  <si>
    <r>
      <rPr>
        <b/>
        <sz val="8"/>
        <rFont val="Arial"/>
        <family val="2"/>
      </rPr>
      <t>Leis Sociais :</t>
    </r>
  </si>
  <si>
    <r>
      <rPr>
        <b/>
        <sz val="8"/>
        <rFont val="Arial"/>
        <family val="2"/>
      </rPr>
      <t>Item</t>
    </r>
  </si>
  <si>
    <r>
      <rPr>
        <b/>
        <sz val="8"/>
        <rFont val="Arial"/>
        <family val="2"/>
      </rPr>
      <t>Especificação do Serviço</t>
    </r>
  </si>
  <si>
    <r>
      <rPr>
        <b/>
        <sz val="8"/>
        <rFont val="Arial"/>
        <family val="2"/>
      </rPr>
      <t>Unid.</t>
    </r>
  </si>
  <si>
    <r>
      <rPr>
        <i/>
        <sz val="8"/>
        <rFont val="Arial"/>
        <family val="2"/>
      </rPr>
      <t>LIMPEZA DO TERRENO</t>
    </r>
  </si>
  <si>
    <r>
      <rPr>
        <sz val="8"/>
        <rFont val="Arial MT"/>
        <family val="2"/>
      </rPr>
      <t>Raspagem e limpeza do terreno (manual)</t>
    </r>
  </si>
  <si>
    <r>
      <rPr>
        <sz val="8"/>
        <rFont val="Arial MT"/>
        <family val="2"/>
      </rPr>
      <t>m2</t>
    </r>
  </si>
  <si>
    <r>
      <rPr>
        <i/>
        <sz val="8"/>
        <rFont val="Arial"/>
        <family val="2"/>
      </rPr>
      <t>LOCAÇÃO</t>
    </r>
  </si>
  <si>
    <r>
      <rPr>
        <sz val="8"/>
        <rFont val="Arial MT"/>
        <family val="2"/>
      </rPr>
      <t>Locação de obra com gabarito de madeira</t>
    </r>
  </si>
  <si>
    <r>
      <rPr>
        <sz val="8"/>
        <rFont val="Arial MT"/>
        <family val="2"/>
      </rPr>
      <t>Placa de obra nas dimensões de 2.0 x 4.0 m, padrão DER</t>
    </r>
  </si>
  <si>
    <r>
      <rPr>
        <sz val="8"/>
        <rFont val="Arial MT"/>
        <family val="2"/>
      </rPr>
      <t>ms</t>
    </r>
  </si>
  <si>
    <r>
      <rPr>
        <sz val="8"/>
        <rFont val="Arial MT"/>
        <family val="2"/>
      </rPr>
      <t>und</t>
    </r>
  </si>
  <si>
    <r>
      <rPr>
        <sz val="8"/>
        <rFont val="Arial MT"/>
        <family val="2"/>
      </rPr>
      <t>m</t>
    </r>
  </si>
  <si>
    <r>
      <rPr>
        <sz val="8"/>
        <rFont val="Arial MT"/>
        <family val="2"/>
      </rPr>
      <t>m3</t>
    </r>
  </si>
  <si>
    <r>
      <rPr>
        <sz val="8"/>
        <rFont val="Arial MT"/>
        <family val="2"/>
      </rPr>
      <t xml:space="preserve">Reaterro apiloado de cavas de fundação, em camadas de 20 cm
</t>
    </r>
    <r>
      <rPr>
        <i/>
        <sz val="8"/>
        <rFont val="Arial"/>
        <family val="2"/>
      </rPr>
      <t>(canaleta e laje)</t>
    </r>
  </si>
  <si>
    <r>
      <rPr>
        <i/>
        <sz val="8"/>
        <rFont val="Arial"/>
        <family val="2"/>
      </rPr>
      <t>MUROS E FECHAMENTOS</t>
    </r>
  </si>
  <si>
    <r>
      <rPr>
        <sz val="8"/>
        <rFont val="Arial MT"/>
        <family val="2"/>
      </rPr>
      <t>Estrutura em concreto armado Fck=15Mpa nas dimensões (50x25x25)cm a cada 2,52m p/fixação de gradil em Nylofor, incl. forma, armação e desforma, considerando consumo forma de 13m2/m3, aço 60kg/m3, incl. escavação e reaterro.</t>
    </r>
  </si>
  <si>
    <r>
      <rPr>
        <sz val="8"/>
        <rFont val="Arial MT"/>
        <family val="2"/>
      </rPr>
      <t>Fornecimento e instalação de portão de abrir, Nylofor ou equivalente, inclusive pintura eletrostática verde</t>
    </r>
  </si>
  <si>
    <r>
      <rPr>
        <sz val="8"/>
        <rFont val="Arial MT"/>
        <family val="2"/>
      </rPr>
      <t>Cercamento em gradil em aço galvanizado soldado e revestido em poliéster por processo de pintura eletrostática 100micra, malha 5x20cm, fio diâm. 5,00mm. Inclusive acessórios e poste. Dimensões dos painéis: 2,50x1,53m - Nylofor ou equivalente</t>
    </r>
  </si>
  <si>
    <r>
      <rPr>
        <sz val="8"/>
        <rFont val="Arial MT"/>
        <family val="2"/>
      </rPr>
      <t>Pórtico em tubo de aço galvanizado 5" x 4,75 mm esp., com jateamento padrão e pintura epóxi, cor verde inclusive fundo com prime epóxi e placa em acm branco de 140x45x4 cm, conf. det. proj.</t>
    </r>
  </si>
  <si>
    <r>
      <rPr>
        <i/>
        <sz val="8"/>
        <rFont val="Arial"/>
        <family val="2"/>
      </rPr>
      <t>PAVIMENTAÇÃO</t>
    </r>
  </si>
  <si>
    <r>
      <rPr>
        <sz val="8"/>
        <rFont val="Arial MT"/>
        <family val="2"/>
      </rPr>
      <t>Execução de piso em concreto armado esp 12cm, considerando fornecimento e lançamento de lona plástica, forma, concreto fck=30MPa e tela de aço soldada Q92</t>
    </r>
  </si>
  <si>
    <r>
      <rPr>
        <sz val="8"/>
        <rFont val="Arial MT"/>
        <family val="2"/>
      </rPr>
      <t>Execução de juntas de dilatação em quadros de 3x3 m com corte de serra diamantada preenchida com selante a base de alcatrão e poliuretano conf. proj.</t>
    </r>
  </si>
  <si>
    <r>
      <rPr>
        <sz val="8"/>
        <rFont val="Arial MT"/>
        <family val="2"/>
      </rPr>
      <t>Contrapiso desempenado, com argamassa de cimento e areia no traço 1:3, espessura 3 cm, exclusive juntas plásticas</t>
    </r>
  </si>
  <si>
    <r>
      <rPr>
        <sz val="8"/>
        <rFont val="Arial MT"/>
        <family val="2"/>
      </rPr>
      <t>Piso modular tipo IMPACT SOFT 50 (placas 100x100) de borracha de pneu reciclado (EPDM) e=50 mm, sobre contrapiso</t>
    </r>
  </si>
  <si>
    <r>
      <rPr>
        <sz val="8"/>
        <rFont val="Arial MT"/>
        <family val="2"/>
      </rPr>
      <t xml:space="preserve">Meio-fio de concreto pré-moldado com dimensões de 10x12x30x100 cm
</t>
    </r>
    <r>
      <rPr>
        <sz val="8"/>
        <rFont val="Arial MT"/>
        <family val="2"/>
      </rPr>
      <t>, rejuntados com argamassa de cimento e areia no traço 1:3</t>
    </r>
  </si>
  <si>
    <r>
      <rPr>
        <sz val="8"/>
        <rFont val="Arial MT"/>
        <family val="2"/>
      </rPr>
      <t>Pintura a cal de meio-fio (tipo a caiação), aplicação manual, a três demãos</t>
    </r>
  </si>
  <si>
    <r>
      <rPr>
        <i/>
        <sz val="8"/>
        <rFont val="Arial"/>
        <family val="2"/>
      </rPr>
      <t>PAISAGISMO</t>
    </r>
  </si>
  <si>
    <r>
      <rPr>
        <sz val="8"/>
        <rFont val="Arial MT"/>
        <family val="2"/>
      </rPr>
      <t>Fornecimento e plantio de Ipê amarelo (Tabebula Chrysotricha), porte mínimo H=6 m, em cava, inclusive terra vegetal, calcário dolomítico, adubos mineral e orgânico</t>
    </r>
  </si>
  <si>
    <r>
      <rPr>
        <sz val="8"/>
        <rFont val="Arial MT"/>
        <family val="2"/>
      </rPr>
      <t>Fornecimento e plantio de Palmeira Rabo de Raposa, porte mín. 6.0 m, abertura de cava de 100x100 cm, inclusive adubação, fornecimento de terra vegetal, fosfato de rochas, calcário e estaca de madeira (tutor)</t>
    </r>
  </si>
  <si>
    <r>
      <rPr>
        <sz val="8"/>
        <rFont val="Arial MT"/>
        <family val="2"/>
      </rPr>
      <t>Fornecimento e plantio de mini ixória cores variadas</t>
    </r>
  </si>
  <si>
    <r>
      <rPr>
        <i/>
        <sz val="8"/>
        <rFont val="Arial"/>
        <family val="2"/>
      </rPr>
      <t>TRATAMENTO, CONSERVAÇÃO E LIMPEZA</t>
    </r>
  </si>
  <si>
    <r>
      <rPr>
        <sz val="8"/>
        <rFont val="Arial MT"/>
        <family val="2"/>
      </rPr>
      <t>Limpeza geral de obras (quadras, praças e jardins)</t>
    </r>
  </si>
  <si>
    <r>
      <rPr>
        <b/>
        <sz val="12"/>
        <rFont val="Arial"/>
        <family val="2"/>
      </rPr>
      <t>GOVERNO DO ESTADO DO ESPÍRITO SANTO</t>
    </r>
    <r>
      <rPr>
        <sz val="10"/>
        <rFont val="Times New Roman"/>
        <charset val="204"/>
      </rPr>
      <t xml:space="preserve">
</t>
    </r>
    <r>
      <rPr>
        <sz val="12"/>
        <rFont val="Arial MT"/>
      </rPr>
      <t>Secretaria de Estado de Mobilidade e Infraestrutura - SEMOBI</t>
    </r>
    <r>
      <rPr>
        <sz val="10"/>
        <rFont val="Times New Roman"/>
        <charset val="204"/>
      </rPr>
      <t xml:space="preserve">
</t>
    </r>
    <r>
      <rPr>
        <sz val="10"/>
        <rFont val="Arial MT"/>
      </rPr>
      <t>Departamento de Edificações e de Rodovias do Estado do Espírito</t>
    </r>
  </si>
  <si>
    <t xml:space="preserve"> Preço Total</t>
  </si>
  <si>
    <t>Quant.</t>
  </si>
  <si>
    <t>Total do Item 05:</t>
  </si>
  <si>
    <t>Total Orçamento :</t>
  </si>
  <si>
    <t>INSTALAÇÃO DO CANTEIRO</t>
  </si>
  <si>
    <t>TAPUMES E BARRACÕES</t>
  </si>
  <si>
    <t>MOVIMENTO DE TERRA</t>
  </si>
  <si>
    <t>ESCAVAÇÕES</t>
  </si>
  <si>
    <t>REATERRO E COMPACTAÇÃO</t>
  </si>
  <si>
    <t>DRENAGEM</t>
  </si>
  <si>
    <t>CANALETAS EM CONCRETO</t>
  </si>
  <si>
    <t>TUBULAÇÃO DE LIGAÇÃO DE CAIXAS</t>
  </si>
  <si>
    <t>CAIXAS EMPREGANDO ARGAMASSA DE CIMENTO, CAL E AREIA</t>
  </si>
  <si>
    <t>Preparo, regularização e compactação do terreno (compactador manual) para execução de piso de quadra</t>
  </si>
  <si>
    <t>Escavação manual em material de 1a. categoria, até 1.50 m de profundidade</t>
  </si>
  <si>
    <t>Caixa de areia em alv. de bloco de concreto 9x19x39, dim. 60x60cm e Hmáx=1m, c/ tampa em ferro fundido, lastro de concreto esp. 10cm, revest. int. c/ chapisco e reboco impermeabilizado, incl. escavação e reaterro</t>
  </si>
  <si>
    <t>Tubo PVC rígido para esgoto no diâmetro de 150mm incluindo escavação e aterro com areia</t>
  </si>
  <si>
    <t>Canaleta no piso em concreto simples, impermeabilizado, com dimensões internas de 15 cm de largura x 15 cm de altura (média) e grelha em ferro fundido conforme projeto ou similar</t>
  </si>
  <si>
    <t>Aluguel mensal container para vestiário, incl. porta, venezianas de circulação, 1 pt iluminação, Isolamento térmico (teto), piso em comp. Naval pintado, cert. NR18, incl. laudo descontaminação.</t>
  </si>
  <si>
    <t>Aluguel mensal container para almoxarifado, incl. porta, 2 janelas, 1 pt iluminação, Isolamento térmico (teto), piso em comp. Naval pintado, cert. NR18, incl. laudo descontaminação.</t>
  </si>
  <si>
    <t>Fechamento com tela tapume/cerquite laranja, H= 1,20m, fixada em poste de madeira a cada 3,00m</t>
  </si>
  <si>
    <r>
      <rPr>
        <b/>
        <sz val="8"/>
        <rFont val="Arial MT"/>
        <family val="2"/>
      </rPr>
      <t>Total do Item 01:</t>
    </r>
  </si>
  <si>
    <r>
      <rPr>
        <b/>
        <sz val="8"/>
        <rFont val="Arial MT"/>
        <family val="2"/>
      </rPr>
      <t>Total do Item 02:</t>
    </r>
  </si>
  <si>
    <r>
      <rPr>
        <b/>
        <sz val="8"/>
        <rFont val="Arial MT"/>
        <family val="2"/>
      </rPr>
      <t>Total do Item 03:</t>
    </r>
  </si>
  <si>
    <r>
      <rPr>
        <b/>
        <sz val="8"/>
        <rFont val="Arial MT"/>
        <family val="2"/>
      </rPr>
      <t>Total do Item 04:</t>
    </r>
  </si>
  <si>
    <t>Mobilização e desmobilização de conteiner locado para barracão de obra</t>
  </si>
  <si>
    <t>Locação Mensal de Banheiro Portátil Hidráulico p/ Canteiro de Obras conf. NR18, 24 e 31 - 03 manutenções semanais (caixa d´agua, vaso sanitário c/ descarga, lavatório, mictório, porta papel higiênico, toalha e sabonete liquido, cap. dejetos min. 600L, sistema de interligação à rede publica de esgoto), inclusive mobilização e desmobilização</t>
  </si>
  <si>
    <r>
      <rPr>
        <b/>
        <sz val="8"/>
        <rFont val="Arial"/>
        <family val="2"/>
      </rPr>
      <t xml:space="preserve">Orçamento : </t>
    </r>
    <r>
      <rPr>
        <sz val="8"/>
        <rFont val="Arial"/>
        <family val="2"/>
      </rPr>
      <t>1569001 - CONSTRUÇÃO DE BRINQUEDOPRAÇA - SETADES</t>
    </r>
    <r>
      <rPr>
        <vertAlign val="superscript"/>
        <sz val="8"/>
        <rFont val="Arial MT"/>
        <family val="2"/>
      </rPr>
      <t xml:space="preserve">
</t>
    </r>
    <r>
      <rPr>
        <b/>
        <sz val="8"/>
        <rFont val="Arial"/>
        <family val="2"/>
      </rPr>
      <t xml:space="preserve">Órgão Cliente : </t>
    </r>
    <r>
      <rPr>
        <sz val="8"/>
        <rFont val="Arial MT"/>
        <family val="2"/>
      </rPr>
      <t>SECRETARIA DE ESTADO DO TRABALHO, ASSISTÊNCIA E DESENV. SOCIAL</t>
    </r>
  </si>
  <si>
    <t xml:space="preserve">Índice Reajuste </t>
  </si>
  <si>
    <t>Preço Unitário Reajustado</t>
  </si>
  <si>
    <t>Janeiro/2025, atualizado via INCC para Dezembro 2025</t>
  </si>
  <si>
    <t>INDICES DE REAJUSTE</t>
  </si>
  <si>
    <t>i0</t>
  </si>
  <si>
    <t>i1</t>
  </si>
  <si>
    <t>R</t>
  </si>
  <si>
    <t>ÍNDICE NACIONAL DE CUSTO DA CONSTRUÇÃO</t>
  </si>
  <si>
    <t>_________________________________________</t>
  </si>
  <si>
    <t>WENDRIO FRITZ COCO</t>
  </si>
  <si>
    <t>ENGENHEIRO CIVIL/CREA-ES 0048993/D</t>
  </si>
  <si>
    <t>DER-ES.</t>
  </si>
  <si>
    <t>Fundão/ES, 12 de janeiro de 2026</t>
  </si>
  <si>
    <t>Responsável pela Atualização da Data-Base</t>
  </si>
  <si>
    <t>VERIFICAÇÃO DO DETALHAMENTO DO BDI</t>
  </si>
  <si>
    <t>OBRA:</t>
  </si>
  <si>
    <t>1. Regime de Contribuição Previdenciária</t>
  </si>
  <si>
    <t>Sem Desoneração</t>
  </si>
  <si>
    <t>2. Incidências sobre o custo</t>
  </si>
  <si>
    <r>
      <t>Administração Central -</t>
    </r>
    <r>
      <rPr>
        <b/>
        <sz val="10"/>
        <rFont val="Arial"/>
        <family val="2"/>
      </rPr>
      <t xml:space="preserve"> AC</t>
    </r>
  </si>
  <si>
    <t>%</t>
  </si>
  <si>
    <r>
      <t>Administração Local -</t>
    </r>
    <r>
      <rPr>
        <b/>
        <sz val="10"/>
        <rFont val="Arial"/>
        <family val="2"/>
      </rPr>
      <t xml:space="preserve"> AL</t>
    </r>
  </si>
  <si>
    <r>
      <t>Riscos -</t>
    </r>
    <r>
      <rPr>
        <b/>
        <sz val="10"/>
        <rFont val="Arial"/>
        <family val="2"/>
      </rPr>
      <t xml:space="preserve"> R</t>
    </r>
  </si>
  <si>
    <r>
      <t>Seguros e Garantias Contratuais -</t>
    </r>
    <r>
      <rPr>
        <b/>
        <sz val="10"/>
        <rFont val="Arial"/>
        <family val="2"/>
      </rPr>
      <t xml:space="preserve"> S+G</t>
    </r>
  </si>
  <si>
    <r>
      <t xml:space="preserve">Despesas e Encargos Financeiros - </t>
    </r>
    <r>
      <rPr>
        <b/>
        <sz val="10"/>
        <rFont val="Arial"/>
        <family val="2"/>
      </rPr>
      <t>DF</t>
    </r>
  </si>
  <si>
    <r>
      <t>Lucro -</t>
    </r>
    <r>
      <rPr>
        <b/>
        <sz val="10"/>
        <rFont val="Arial"/>
        <family val="2"/>
      </rPr>
      <t xml:space="preserve"> L</t>
    </r>
  </si>
  <si>
    <t>3 – Incidências sobre o preço de venda</t>
  </si>
  <si>
    <t>Despesas Tributárias - I</t>
  </si>
  <si>
    <t>ISS</t>
  </si>
  <si>
    <t>COFINS</t>
  </si>
  <si>
    <t>PIS</t>
  </si>
  <si>
    <t>INSS</t>
  </si>
  <si>
    <t>4 – Demonstrativo de cálculo do BDI</t>
  </si>
  <si>
    <t>BDI  =</t>
  </si>
  <si>
    <r>
      <t xml:space="preserve">       </t>
    </r>
    <r>
      <rPr>
        <u/>
        <sz val="10"/>
        <rFont val="Arial"/>
        <family val="2"/>
      </rPr>
      <t>(1+(AC+S+R+G+AL))(1+DF)(1+L))</t>
    </r>
    <r>
      <rPr>
        <sz val="10"/>
        <rFont val="Arial"/>
        <family val="2"/>
      </rPr>
      <t xml:space="preserve">  -1   =</t>
    </r>
  </si>
  <si>
    <t>( 1- I )</t>
  </si>
  <si>
    <t>Fundão/ES, 24 de abril de 2026</t>
  </si>
  <si>
    <t>CONSTRUÇÃO DE BRINQUEDOPRAÇA</t>
  </si>
  <si>
    <t xml:space="preserve">            CRONOGRAMA FÍSICO E FINANCEIRO</t>
  </si>
  <si>
    <t>INFORMAÇÕES GERAIS</t>
  </si>
  <si>
    <t xml:space="preserve">Município:  </t>
  </si>
  <si>
    <t>FUNDÃO - ES</t>
  </si>
  <si>
    <t>CRONOGRAMA FÍSICO E FINANCEIRO</t>
  </si>
  <si>
    <t>Item</t>
  </si>
  <si>
    <t>Descrição</t>
  </si>
  <si>
    <t>Valor dos Serviços</t>
  </si>
  <si>
    <t>Grandes Itens (Etapas da obra)</t>
  </si>
  <si>
    <t>R$</t>
  </si>
  <si>
    <t>Peso %</t>
  </si>
  <si>
    <t>TOTAIS</t>
  </si>
  <si>
    <t>TOTAIS ACUMULADOS</t>
  </si>
  <si>
    <t>SERVIÇOS PRELIMINARES</t>
  </si>
  <si>
    <t>SERVIÇOS COMPLEMENTARES EXTERNOS</t>
  </si>
  <si>
    <t xml:space="preserve"> CONSTRUÇÃO DE BRINQUEDOPRAÇA </t>
  </si>
  <si>
    <t>Projeto</t>
  </si>
  <si>
    <t>Responsável</t>
  </si>
  <si>
    <t>Wendrio Fritz Coco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</si>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</sst>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164" formatCode="0.00\ %"/>
    <numFmt numFmtId="165" formatCode="00"/>
    <numFmt numFmtId="166" formatCode="0000"/>
    <numFmt numFmtId="167" formatCode="000000"/>
    <numFmt numFmtId="168" formatCode="0.0"/>
    <numFmt numFmtId="169" formatCode="0.000;0.000"/>
    <numFmt numFmtId="170" formatCode="_-* #,##0.000_-;\-* #,##0.000_-;_-* &quot;-&quot;???_-;_-@_-"/>
    <numFmt numFmtId="171" formatCode="00\º\ &quot;MÊS&quot;"/>
    <numFmt numFmtId="172" formatCode="&quot;R$ &quot;#,##0.00_);[Red]\(&quot;R$ &quot;#,##0.00\)"/>
    <numFmt numFmtId="173" formatCode="_-* #,##0.00_-;[Red]\-* #,##0.00_-;_-* &quot;-&quot;??_-;_-@_-"/>
    <numFmt numFmtId="174" formatCode="_(* #,##0.00_);_(* \(#,##0.00\);_(* &quot;-&quot;??_);_(@_)"/>
  </numFmts>
  <fonts count="56">
    <font>
      <sz val="10"/>
      <color rgb="FF000000"/>
      <name val="Times New Roman"/>
      <charset val="204"/>
    </font>
    <font>
      <b/>
      <i/>
      <sz val="10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i/>
      <sz val="8"/>
      <name val="Arial"/>
    </font>
    <font>
      <b/>
      <sz val="8"/>
      <color rgb="FF00000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vertAlign val="superscript"/>
      <sz val="8"/>
      <name val="Arial MT"/>
      <family val="2"/>
    </font>
    <font>
      <sz val="8"/>
      <name val="Arial MT"/>
      <family val="2"/>
    </font>
    <font>
      <i/>
      <sz val="8"/>
      <name val="Arial"/>
      <family val="2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</font>
    <font>
      <sz val="12"/>
      <name val="Arial MT"/>
    </font>
    <font>
      <sz val="10"/>
      <name val="Arial MT"/>
    </font>
    <font>
      <sz val="8"/>
      <color rgb="FF000000"/>
      <name val="Times New Roman"/>
      <family val="1"/>
    </font>
    <font>
      <b/>
      <sz val="8"/>
      <name val="Arial MT"/>
    </font>
    <font>
      <b/>
      <sz val="8"/>
      <name val="Arial MT"/>
      <family val="2"/>
    </font>
    <font>
      <sz val="8"/>
      <name val="Arial"/>
      <family val="2"/>
    </font>
    <font>
      <b/>
      <sz val="22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  <font>
      <sz val="10"/>
      <color theme="1"/>
      <name val="Arial Nova Cond Light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</font>
    <font>
      <sz val="3"/>
      <name val="Arial"/>
      <family val="2"/>
    </font>
    <font>
      <b/>
      <sz val="3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i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Tahoma"/>
      <family val="2"/>
    </font>
    <font>
      <sz val="12"/>
      <color rgb="FF000000"/>
      <name val="Arial"/>
      <family val="2"/>
    </font>
    <font>
      <sz val="11"/>
      <color theme="1"/>
      <name val="Tahoma"/>
      <family val="2"/>
    </font>
    <font>
      <b/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59"/>
        <bgColor rgb="FFFFFF00"/>
      </patternFill>
    </fill>
    <fill>
      <patternFill patternType="solid">
        <fgColor rgb="FFFFFFC5"/>
        <bgColor rgb="FFEBF1DE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44" fontId="1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13" fillId="0" borderId="0" applyFont="0" applyFill="0" applyBorder="0" applyAlignment="0" applyProtection="0"/>
    <xf numFmtId="0" fontId="31" fillId="0" borderId="0"/>
    <xf numFmtId="0" fontId="23" fillId="0" borderId="0"/>
    <xf numFmtId="0" fontId="36" fillId="0" borderId="0"/>
    <xf numFmtId="0" fontId="23" fillId="0" borderId="0"/>
    <xf numFmtId="17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53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4" fontId="0" fillId="0" borderId="0" xfId="0" applyNumberForma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wrapText="1"/>
    </xf>
    <xf numFmtId="44" fontId="4" fillId="0" borderId="1" xfId="1" applyFont="1" applyFill="1" applyBorder="1" applyAlignment="1">
      <alignment vertical="center" shrinkToFit="1"/>
    </xf>
    <xf numFmtId="44" fontId="6" fillId="2" borderId="1" xfId="1" applyFont="1" applyFill="1" applyBorder="1" applyAlignment="1">
      <alignment vertical="center" shrinkToFit="1"/>
    </xf>
    <xf numFmtId="44" fontId="3" fillId="0" borderId="1" xfId="1" applyFont="1" applyFill="1" applyBorder="1" applyAlignment="1">
      <alignment vertical="top" wrapText="1"/>
    </xf>
    <xf numFmtId="44" fontId="3" fillId="0" borderId="1" xfId="1" applyFont="1" applyFill="1" applyBorder="1" applyAlignment="1">
      <alignment vertical="center" wrapText="1"/>
    </xf>
    <xf numFmtId="0" fontId="24" fillId="0" borderId="5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17" fontId="26" fillId="0" borderId="1" xfId="0" applyNumberFormat="1" applyFont="1" applyBorder="1" applyAlignment="1">
      <alignment horizontal="center" vertical="center" wrapText="1"/>
    </xf>
    <xf numFmtId="17" fontId="27" fillId="4" borderId="1" xfId="2" applyNumberFormat="1" applyFont="1" applyFill="1" applyBorder="1" applyAlignment="1">
      <alignment horizontal="center" vertical="center"/>
    </xf>
    <xf numFmtId="169" fontId="24" fillId="0" borderId="1" xfId="2" applyNumberFormat="1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/>
    </xf>
    <xf numFmtId="0" fontId="0" fillId="0" borderId="0" xfId="0"/>
    <xf numFmtId="0" fontId="28" fillId="0" borderId="0" xfId="3" applyFont="1" applyAlignment="1">
      <alignment horizontal="center"/>
    </xf>
    <xf numFmtId="0" fontId="29" fillId="0" borderId="0" xfId="4" applyFont="1" applyAlignment="1">
      <alignment horizontal="center"/>
    </xf>
    <xf numFmtId="0" fontId="29" fillId="0" borderId="0" xfId="4" applyFont="1"/>
    <xf numFmtId="0" fontId="30" fillId="0" borderId="0" xfId="3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0" fillId="0" borderId="0" xfId="3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shrinkToFit="1"/>
    </xf>
    <xf numFmtId="0" fontId="30" fillId="0" borderId="0" xfId="3" applyFont="1" applyAlignment="1">
      <alignment horizontal="right" vertical="center"/>
    </xf>
    <xf numFmtId="0" fontId="30" fillId="0" borderId="0" xfId="3" applyFont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right" vertical="center" wrapText="1"/>
    </xf>
    <xf numFmtId="0" fontId="19" fillId="2" borderId="4" xfId="0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9"/>
    </xf>
    <xf numFmtId="0" fontId="2" fillId="0" borderId="1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1"/>
    </xf>
    <xf numFmtId="0" fontId="12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 indent="1"/>
    </xf>
    <xf numFmtId="167" fontId="4" fillId="0" borderId="1" xfId="0" applyNumberFormat="1" applyFont="1" applyFill="1" applyBorder="1" applyAlignment="1">
      <alignment horizontal="center" vertical="center" shrinkToFit="1"/>
    </xf>
    <xf numFmtId="166" fontId="4" fillId="0" borderId="1" xfId="0" applyNumberFormat="1" applyFont="1" applyFill="1" applyBorder="1" applyAlignment="1">
      <alignment horizontal="center" vertical="center" shrinkToFit="1"/>
    </xf>
    <xf numFmtId="165" fontId="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5" fillId="3" borderId="1" xfId="2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170" fontId="28" fillId="0" borderId="0" xfId="3" applyNumberFormat="1" applyFont="1" applyAlignment="1">
      <alignment horizontal="center"/>
    </xf>
    <xf numFmtId="0" fontId="32" fillId="0" borderId="0" xfId="6" applyFont="1" applyAlignment="1">
      <alignment horizontal="center"/>
    </xf>
    <xf numFmtId="0" fontId="32" fillId="0" borderId="0" xfId="6" applyFont="1" applyAlignment="1">
      <alignment horizontal="center"/>
    </xf>
    <xf numFmtId="0" fontId="33" fillId="0" borderId="0" xfId="6" applyFont="1"/>
    <xf numFmtId="0" fontId="32" fillId="0" borderId="0" xfId="6" applyFont="1"/>
    <xf numFmtId="0" fontId="34" fillId="0" borderId="0" xfId="6" applyFont="1" applyAlignment="1">
      <alignment horizontal="right" vertical="center"/>
    </xf>
    <xf numFmtId="0" fontId="26" fillId="0" borderId="8" xfId="7" applyFont="1" applyBorder="1" applyAlignment="1">
      <alignment horizontal="left" wrapText="1"/>
    </xf>
    <xf numFmtId="0" fontId="26" fillId="0" borderId="9" xfId="7" applyFont="1" applyBorder="1" applyAlignment="1">
      <alignment horizontal="left" wrapText="1"/>
    </xf>
    <xf numFmtId="0" fontId="35" fillId="0" borderId="0" xfId="6" applyFont="1" applyAlignment="1">
      <alignment horizontal="center"/>
    </xf>
    <xf numFmtId="10" fontId="35" fillId="0" borderId="0" xfId="6" applyNumberFormat="1" applyFont="1" applyAlignment="1" applyProtection="1">
      <alignment horizontal="left" vertical="center" wrapText="1"/>
      <protection locked="0"/>
    </xf>
    <xf numFmtId="0" fontId="26" fillId="0" borderId="0" xfId="8" applyFont="1"/>
    <xf numFmtId="0" fontId="23" fillId="0" borderId="0" xfId="8" applyFont="1"/>
    <xf numFmtId="0" fontId="23" fillId="5" borderId="0" xfId="8" applyFont="1" applyFill="1" applyAlignment="1" applyProtection="1">
      <alignment horizontal="left"/>
      <protection locked="0"/>
    </xf>
    <xf numFmtId="0" fontId="26" fillId="0" borderId="0" xfId="8" applyFont="1" applyAlignment="1">
      <alignment horizontal="center"/>
    </xf>
    <xf numFmtId="0" fontId="26" fillId="0" borderId="0" xfId="8" applyFont="1"/>
    <xf numFmtId="0" fontId="37" fillId="0" borderId="0" xfId="8" applyFont="1"/>
    <xf numFmtId="0" fontId="38" fillId="0" borderId="0" xfId="8" applyFont="1" applyAlignment="1">
      <alignment horizontal="center"/>
    </xf>
    <xf numFmtId="0" fontId="23" fillId="0" borderId="0" xfId="8" applyFont="1" applyAlignment="1">
      <alignment horizontal="right"/>
    </xf>
    <xf numFmtId="0" fontId="23" fillId="0" borderId="4" xfId="8" applyFont="1" applyBorder="1" applyAlignment="1">
      <alignment horizontal="justify" vertical="top" wrapText="1"/>
    </xf>
    <xf numFmtId="2" fontId="23" fillId="5" borderId="4" xfId="8" applyNumberFormat="1" applyFont="1" applyFill="1" applyBorder="1" applyAlignment="1" applyProtection="1">
      <alignment horizontal="center" vertical="top" wrapText="1"/>
      <protection locked="0"/>
    </xf>
    <xf numFmtId="0" fontId="23" fillId="0" borderId="4" xfId="8" applyFont="1" applyBorder="1" applyAlignment="1">
      <alignment horizontal="center" vertical="top" wrapText="1"/>
    </xf>
    <xf numFmtId="0" fontId="23" fillId="0" borderId="0" xfId="8" applyFont="1" applyAlignment="1">
      <alignment horizontal="center"/>
    </xf>
    <xf numFmtId="0" fontId="39" fillId="0" borderId="4" xfId="8" applyFont="1" applyBorder="1" applyAlignment="1">
      <alignment horizontal="justify" vertical="top" wrapText="1"/>
    </xf>
    <xf numFmtId="2" fontId="23" fillId="0" borderId="4" xfId="8" applyNumberFormat="1" applyFont="1" applyBorder="1" applyAlignment="1">
      <alignment horizontal="center" vertical="top" wrapText="1"/>
    </xf>
    <xf numFmtId="0" fontId="26" fillId="0" borderId="4" xfId="8" applyFont="1" applyBorder="1" applyAlignment="1">
      <alignment horizontal="justify"/>
    </xf>
    <xf numFmtId="2" fontId="26" fillId="0" borderId="4" xfId="8" applyNumberFormat="1" applyFont="1" applyBorder="1" applyAlignment="1">
      <alignment horizontal="center"/>
    </xf>
    <xf numFmtId="0" fontId="26" fillId="0" borderId="4" xfId="8" applyFont="1" applyBorder="1" applyAlignment="1">
      <alignment horizontal="center" vertical="top" wrapText="1"/>
    </xf>
    <xf numFmtId="0" fontId="39" fillId="0" borderId="4" xfId="8" applyFont="1" applyBorder="1" applyAlignment="1">
      <alignment horizontal="left" vertical="top" wrapText="1" indent="5"/>
    </xf>
    <xf numFmtId="0" fontId="38" fillId="0" borderId="0" xfId="8" applyFont="1"/>
    <xf numFmtId="10" fontId="41" fillId="6" borderId="10" xfId="5" applyNumberFormat="1" applyFont="1" applyFill="1" applyBorder="1" applyAlignment="1" applyProtection="1">
      <alignment horizontal="center" vertical="center" wrapText="1"/>
    </xf>
    <xf numFmtId="10" fontId="41" fillId="6" borderId="11" xfId="5" applyNumberFormat="1" applyFont="1" applyFill="1" applyBorder="1" applyAlignment="1" applyProtection="1">
      <alignment horizontal="center" vertical="center" wrapText="1"/>
    </xf>
    <xf numFmtId="10" fontId="41" fillId="6" borderId="12" xfId="5" applyNumberFormat="1" applyFont="1" applyFill="1" applyBorder="1" applyAlignment="1" applyProtection="1">
      <alignment horizontal="center" vertical="center" wrapText="1"/>
    </xf>
    <xf numFmtId="10" fontId="41" fillId="6" borderId="13" xfId="5" applyNumberFormat="1" applyFont="1" applyFill="1" applyBorder="1" applyAlignment="1" applyProtection="1">
      <alignment horizontal="center" vertical="center" wrapText="1"/>
    </xf>
    <xf numFmtId="0" fontId="32" fillId="0" borderId="0" xfId="6" applyFont="1" applyAlignment="1"/>
    <xf numFmtId="0" fontId="11" fillId="0" borderId="2" xfId="0" applyFont="1" applyFill="1" applyBorder="1" applyAlignment="1">
      <alignment horizontal="left" vertical="center" wrapText="1"/>
    </xf>
    <xf numFmtId="0" fontId="46" fillId="7" borderId="14" xfId="9" applyFont="1" applyFill="1" applyBorder="1" applyAlignment="1">
      <alignment vertical="center"/>
    </xf>
    <xf numFmtId="0" fontId="46" fillId="7" borderId="14" xfId="9" applyFont="1" applyFill="1" applyBorder="1" applyAlignment="1">
      <alignment horizontal="center" vertical="center"/>
    </xf>
    <xf numFmtId="0" fontId="46" fillId="7" borderId="15" xfId="9" applyFont="1" applyFill="1" applyBorder="1" applyAlignment="1">
      <alignment horizontal="center" vertical="center"/>
    </xf>
    <xf numFmtId="0" fontId="23" fillId="0" borderId="0" xfId="9"/>
    <xf numFmtId="0" fontId="47" fillId="8" borderId="2" xfId="9" applyFont="1" applyFill="1" applyBorder="1" applyAlignment="1">
      <alignment horizontal="center" vertical="center"/>
    </xf>
    <xf numFmtId="0" fontId="47" fillId="8" borderId="4" xfId="9" applyFont="1" applyFill="1" applyBorder="1" applyAlignment="1">
      <alignment horizontal="center" vertical="center"/>
    </xf>
    <xf numFmtId="0" fontId="48" fillId="8" borderId="1" xfId="9" applyFont="1" applyFill="1" applyBorder="1" applyAlignment="1">
      <alignment vertical="center"/>
    </xf>
    <xf numFmtId="0" fontId="48" fillId="8" borderId="2" xfId="9" applyFont="1" applyFill="1" applyBorder="1" applyAlignment="1">
      <alignment horizontal="left" vertical="center"/>
    </xf>
    <xf numFmtId="0" fontId="48" fillId="8" borderId="4" xfId="9" applyFont="1" applyFill="1" applyBorder="1" applyAlignment="1">
      <alignment horizontal="left" vertical="center"/>
    </xf>
    <xf numFmtId="0" fontId="30" fillId="8" borderId="1" xfId="9" applyFont="1" applyFill="1" applyBorder="1" applyAlignment="1">
      <alignment horizontal="left" vertical="center"/>
    </xf>
    <xf numFmtId="0" fontId="48" fillId="8" borderId="1" xfId="9" applyFont="1" applyFill="1" applyBorder="1" applyAlignment="1">
      <alignment horizontal="left" vertical="center" wrapText="1"/>
    </xf>
    <xf numFmtId="14" fontId="30" fillId="8" borderId="1" xfId="9" applyNumberFormat="1" applyFont="1" applyFill="1" applyBorder="1" applyAlignment="1">
      <alignment horizontal="left" vertical="center"/>
    </xf>
    <xf numFmtId="0" fontId="49" fillId="9" borderId="1" xfId="9" applyFont="1" applyFill="1" applyBorder="1" applyAlignment="1">
      <alignment horizontal="center" vertical="center"/>
    </xf>
    <xf numFmtId="0" fontId="50" fillId="10" borderId="1" xfId="9" applyFont="1" applyFill="1" applyBorder="1" applyAlignment="1">
      <alignment horizontal="center" vertical="center"/>
    </xf>
    <xf numFmtId="0" fontId="50" fillId="10" borderId="1" xfId="9" applyFont="1" applyFill="1" applyBorder="1" applyAlignment="1">
      <alignment horizontal="center" vertical="center"/>
    </xf>
    <xf numFmtId="171" fontId="50" fillId="10" borderId="1" xfId="9" applyNumberFormat="1" applyFont="1" applyFill="1" applyBorder="1" applyAlignment="1">
      <alignment horizontal="center" vertical="center"/>
    </xf>
    <xf numFmtId="0" fontId="50" fillId="10" borderId="1" xfId="9" applyFont="1" applyFill="1" applyBorder="1" applyAlignment="1">
      <alignment vertical="center"/>
    </xf>
    <xf numFmtId="172" fontId="50" fillId="10" borderId="1" xfId="9" applyNumberFormat="1" applyFont="1" applyFill="1" applyBorder="1" applyAlignment="1">
      <alignment horizontal="center" vertical="center"/>
    </xf>
    <xf numFmtId="0" fontId="50" fillId="0" borderId="1" xfId="9" applyFont="1" applyBorder="1" applyAlignment="1">
      <alignment horizontal="center" vertical="center"/>
    </xf>
    <xf numFmtId="173" fontId="51" fillId="0" borderId="1" xfId="9" applyNumberFormat="1" applyFont="1" applyBorder="1" applyAlignment="1">
      <alignment vertical="center" wrapText="1"/>
    </xf>
    <xf numFmtId="174" fontId="51" fillId="0" borderId="1" xfId="10" applyFont="1" applyFill="1" applyBorder="1" applyAlignment="1">
      <alignment vertical="center" wrapText="1"/>
    </xf>
    <xf numFmtId="10" fontId="50" fillId="0" borderId="1" xfId="11" applyNumberFormat="1" applyFont="1" applyFill="1" applyBorder="1" applyAlignment="1">
      <alignment horizontal="center" vertical="center" wrapText="1"/>
    </xf>
    <xf numFmtId="10" fontId="51" fillId="11" borderId="1" xfId="11" applyNumberFormat="1" applyFont="1" applyFill="1" applyBorder="1" applyAlignment="1">
      <alignment vertical="center" wrapText="1"/>
    </xf>
    <xf numFmtId="10" fontId="23" fillId="0" borderId="0" xfId="9" applyNumberFormat="1"/>
    <xf numFmtId="0" fontId="50" fillId="8" borderId="1" xfId="9" applyFont="1" applyFill="1" applyBorder="1" applyAlignment="1">
      <alignment horizontal="center" vertical="center"/>
    </xf>
    <xf numFmtId="174" fontId="50" fillId="8" borderId="1" xfId="10" applyFont="1" applyFill="1" applyBorder="1" applyAlignment="1">
      <alignment vertical="center"/>
    </xf>
    <xf numFmtId="10" fontId="51" fillId="8" borderId="1" xfId="11" applyNumberFormat="1" applyFont="1" applyFill="1" applyBorder="1" applyAlignment="1">
      <alignment vertical="center"/>
    </xf>
    <xf numFmtId="174" fontId="51" fillId="8" borderId="1" xfId="10" applyFont="1" applyFill="1" applyBorder="1" applyAlignment="1">
      <alignment vertical="center"/>
    </xf>
    <xf numFmtId="10" fontId="51" fillId="8" borderId="1" xfId="10" applyNumberFormat="1" applyFont="1" applyFill="1" applyBorder="1" applyAlignment="1">
      <alignment vertical="center"/>
    </xf>
    <xf numFmtId="174" fontId="50" fillId="8" borderId="1" xfId="9" applyNumberFormat="1" applyFont="1" applyFill="1" applyBorder="1" applyAlignment="1">
      <alignment vertical="center"/>
    </xf>
    <xf numFmtId="174" fontId="51" fillId="8" borderId="1" xfId="9" applyNumberFormat="1" applyFont="1" applyFill="1" applyBorder="1" applyAlignment="1">
      <alignment vertical="center"/>
    </xf>
    <xf numFmtId="10" fontId="51" fillId="8" borderId="1" xfId="9" applyNumberFormat="1" applyFont="1" applyFill="1" applyBorder="1" applyAlignment="1">
      <alignment vertical="center"/>
    </xf>
    <xf numFmtId="0" fontId="23" fillId="8" borderId="0" xfId="9" applyFill="1" applyAlignment="1">
      <alignment horizontal="center" vertical="center"/>
    </xf>
    <xf numFmtId="0" fontId="23" fillId="8" borderId="0" xfId="9" applyFill="1" applyAlignment="1">
      <alignment vertical="center"/>
    </xf>
    <xf numFmtId="0" fontId="52" fillId="0" borderId="0" xfId="3" applyFont="1" applyAlignment="1">
      <alignment horizontal="center"/>
    </xf>
    <xf numFmtId="0" fontId="52" fillId="0" borderId="0" xfId="3" applyFont="1" applyAlignment="1">
      <alignment horizontal="left" vertical="center"/>
    </xf>
    <xf numFmtId="4" fontId="52" fillId="0" borderId="0" xfId="3" applyNumberFormat="1" applyFont="1" applyAlignment="1">
      <alignment horizontal="right" vertical="center"/>
    </xf>
    <xf numFmtId="4" fontId="52" fillId="0" borderId="0" xfId="3" applyNumberFormat="1" applyFont="1"/>
    <xf numFmtId="0" fontId="52" fillId="0" borderId="0" xfId="3" applyFont="1"/>
    <xf numFmtId="0" fontId="54" fillId="0" borderId="0" xfId="0" applyFont="1"/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left" vertical="top" wrapText="1"/>
    </xf>
    <xf numFmtId="0" fontId="53" fillId="0" borderId="0" xfId="0" applyFont="1" applyAlignment="1">
      <alignment vertical="top"/>
    </xf>
    <xf numFmtId="0" fontId="53" fillId="0" borderId="0" xfId="0" applyFont="1" applyAlignment="1">
      <alignment vertical="center"/>
    </xf>
    <xf numFmtId="0" fontId="55" fillId="0" borderId="0" xfId="0" applyFont="1" applyAlignment="1">
      <alignment vertical="center"/>
    </xf>
  </cellXfs>
  <cellStyles count="12">
    <cellStyle name="Moeda" xfId="1" builtinId="4"/>
    <cellStyle name="Normal" xfId="0" builtinId="0"/>
    <cellStyle name="Normal 10" xfId="4" xr:uid="{18299324-0B5D-47AD-97EB-8F498925440E}"/>
    <cellStyle name="Normal 2" xfId="7" xr:uid="{F429D885-F2F1-4AD1-96E8-4DC8DE3B5E51}"/>
    <cellStyle name="Normal 2 2" xfId="9" xr:uid="{09DD4D16-4095-4EB1-95C7-97A951A7DDC3}"/>
    <cellStyle name="Normal 2_Modelo de Detalhamento do  BDI" xfId="8" xr:uid="{7110A909-5810-4324-A751-3BB9ABB69D4D}"/>
    <cellStyle name="Normal 3" xfId="3" xr:uid="{65A12268-A7A9-4BF1-BF6A-BF4192E452E5}"/>
    <cellStyle name="Normal 9" xfId="2" xr:uid="{8FDD5782-0D17-470B-A37E-03ECAE082C0E}"/>
    <cellStyle name="Normal_Compara_SINAPI_12_dez_16_Desonerado" xfId="6" xr:uid="{40BE9C44-C07E-4B15-B672-B11073B0F617}"/>
    <cellStyle name="Porcentagem" xfId="5" builtinId="5"/>
    <cellStyle name="Porcentagem 2" xfId="11" xr:uid="{E4682A42-7B65-4DBA-A1C8-BE548F73FCDB}"/>
    <cellStyle name="Vírgula 4" xfId="10" xr:uid="{F6F9F64B-8E2E-4499-BCF2-A32A7E3C8C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960120</xdr:colOff>
      <xdr:row>0</xdr:row>
      <xdr:rowOff>15240</xdr:rowOff>
    </xdr:from>
    <xdr:ext cx="664368" cy="624383"/>
    <xdr:pic>
      <xdr:nvPicPr>
        <xdr:cNvPr id="4" name="image1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" y="15240"/>
          <a:ext cx="664368" cy="6243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2" name="Line 39">
          <a:extLst>
            <a:ext uri="{FF2B5EF4-FFF2-40B4-BE49-F238E27FC236}">
              <a16:creationId xmlns:a16="http://schemas.microsoft.com/office/drawing/2014/main" id="{0ACA3795-7D6C-45B7-88D4-1284FDEF27B5}"/>
            </a:ext>
          </a:extLst>
        </xdr:cNvPr>
        <xdr:cNvSpPr>
          <a:spLocks noChangeShapeType="1"/>
        </xdr:cNvSpPr>
      </xdr:nvSpPr>
      <xdr:spPr bwMode="auto">
        <a:xfrm flipH="1" flipV="1">
          <a:off x="63055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190500</xdr:colOff>
      <xdr:row>0</xdr:row>
      <xdr:rowOff>95250</xdr:rowOff>
    </xdr:from>
    <xdr:to>
      <xdr:col>0</xdr:col>
      <xdr:colOff>962391</xdr:colOff>
      <xdr:row>0</xdr:row>
      <xdr:rowOff>914400</xdr:rowOff>
    </xdr:to>
    <xdr:pic>
      <xdr:nvPicPr>
        <xdr:cNvPr id="3" name="Imagem 17" descr="PREFEITURA MUNICIPAL DE FUNDÃO - ES">
          <a:extLst>
            <a:ext uri="{FF2B5EF4-FFF2-40B4-BE49-F238E27FC236}">
              <a16:creationId xmlns:a16="http://schemas.microsoft.com/office/drawing/2014/main" id="{3E02401A-AF34-44CD-B8B6-846FCE082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250"/>
          <a:ext cx="771891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view="pageBreakPreview" zoomScaleNormal="100" zoomScaleSheetLayoutView="100" workbookViewId="0">
      <selection activeCell="A3" sqref="A3:F3"/>
    </sheetView>
  </sheetViews>
  <sheetFormatPr defaultRowHeight="12.75"/>
  <cols>
    <col min="1" max="1" width="15.1640625" customWidth="1"/>
    <col min="2" max="2" width="6.83203125" customWidth="1"/>
    <col min="3" max="3" width="43.33203125" customWidth="1"/>
    <col min="4" max="4" width="12.5" customWidth="1"/>
    <col min="5" max="5" width="28.5" customWidth="1"/>
    <col min="6" max="6" width="6.1640625" customWidth="1"/>
    <col min="7" max="7" width="9.83203125" customWidth="1"/>
    <col min="8" max="8" width="11.6640625" style="28" bestFit="1" customWidth="1"/>
    <col min="9" max="9" width="12.33203125" customWidth="1"/>
    <col min="10" max="10" width="15.5" customWidth="1"/>
  </cols>
  <sheetData>
    <row r="1" spans="1:11" ht="60" customHeight="1">
      <c r="A1" s="56" t="s">
        <v>41</v>
      </c>
      <c r="B1" s="57"/>
      <c r="C1" s="57"/>
      <c r="D1" s="57"/>
      <c r="E1" s="57"/>
      <c r="F1" s="57"/>
      <c r="G1" s="57"/>
      <c r="H1" s="57"/>
      <c r="I1" s="57"/>
      <c r="J1" s="57"/>
    </row>
    <row r="2" spans="1:11" ht="14.25" customHeight="1">
      <c r="A2" s="43" t="s">
        <v>0</v>
      </c>
      <c r="B2" s="43"/>
      <c r="C2" s="43"/>
      <c r="D2" s="44" t="s">
        <v>1</v>
      </c>
      <c r="E2" s="44"/>
      <c r="F2" s="44"/>
      <c r="G2" s="44"/>
      <c r="H2" s="44"/>
      <c r="I2" s="44"/>
      <c r="J2" s="44"/>
    </row>
    <row r="3" spans="1:11" ht="44.45" customHeight="1">
      <c r="A3" s="106" t="s">
        <v>69</v>
      </c>
      <c r="B3" s="45"/>
      <c r="C3" s="45"/>
      <c r="D3" s="45"/>
      <c r="E3" s="45"/>
      <c r="F3" s="46"/>
      <c r="G3" s="47" t="s">
        <v>2</v>
      </c>
      <c r="H3" s="47"/>
      <c r="I3" s="47"/>
      <c r="J3" s="8" t="s">
        <v>72</v>
      </c>
    </row>
    <row r="4" spans="1:11" ht="15.4" customHeight="1">
      <c r="A4" s="42" t="s">
        <v>3</v>
      </c>
      <c r="B4" s="42"/>
      <c r="C4" s="42" t="s">
        <v>4</v>
      </c>
      <c r="D4" s="42"/>
      <c r="E4" s="42"/>
      <c r="F4" s="42"/>
      <c r="G4" s="42" t="s">
        <v>5</v>
      </c>
      <c r="H4" s="42"/>
      <c r="I4" s="42"/>
      <c r="J4" s="34">
        <v>0.33250000000000002</v>
      </c>
    </row>
    <row r="5" spans="1:11" ht="15.4" customHeight="1">
      <c r="A5" s="42" t="s">
        <v>6</v>
      </c>
      <c r="B5" s="42"/>
      <c r="C5" s="38" t="s">
        <v>7</v>
      </c>
      <c r="D5" s="38"/>
      <c r="E5" s="38"/>
      <c r="F5" s="38"/>
      <c r="G5" s="42" t="s">
        <v>8</v>
      </c>
      <c r="H5" s="42"/>
      <c r="I5" s="42"/>
      <c r="J5" s="34">
        <v>1.5727</v>
      </c>
    </row>
    <row r="6" spans="1:11" ht="34.15" customHeight="1">
      <c r="A6" s="60" t="s">
        <v>9</v>
      </c>
      <c r="B6" s="60"/>
      <c r="C6" s="59" t="s">
        <v>10</v>
      </c>
      <c r="D6" s="59"/>
      <c r="E6" s="59"/>
      <c r="F6" s="30" t="s">
        <v>11</v>
      </c>
      <c r="G6" s="31" t="s">
        <v>43</v>
      </c>
      <c r="H6" s="27" t="s">
        <v>70</v>
      </c>
      <c r="I6" s="32" t="s">
        <v>71</v>
      </c>
      <c r="J6" s="33" t="s">
        <v>42</v>
      </c>
    </row>
    <row r="7" spans="1:11" ht="12" customHeight="1">
      <c r="A7" s="48">
        <v>1</v>
      </c>
      <c r="B7" s="48"/>
      <c r="C7" s="51" t="s">
        <v>121</v>
      </c>
      <c r="D7" s="58"/>
      <c r="E7" s="58"/>
      <c r="F7" s="58"/>
      <c r="G7" s="58"/>
      <c r="H7" s="58"/>
      <c r="I7" s="58"/>
      <c r="J7" s="58"/>
    </row>
    <row r="8" spans="1:11" ht="12" customHeight="1">
      <c r="A8" s="41">
        <v>101</v>
      </c>
      <c r="B8" s="41"/>
      <c r="C8" s="58" t="s">
        <v>12</v>
      </c>
      <c r="D8" s="58"/>
      <c r="E8" s="58"/>
      <c r="F8" s="58"/>
      <c r="G8" s="58"/>
      <c r="H8" s="58"/>
      <c r="I8" s="58"/>
      <c r="J8" s="58"/>
    </row>
    <row r="9" spans="1:11">
      <c r="A9" s="37">
        <v>10101</v>
      </c>
      <c r="B9" s="37"/>
      <c r="C9" s="38" t="s">
        <v>13</v>
      </c>
      <c r="D9" s="38"/>
      <c r="E9" s="38"/>
      <c r="F9" s="1" t="s">
        <v>14</v>
      </c>
      <c r="G9" s="2">
        <v>276.64</v>
      </c>
      <c r="H9" s="4">
        <f>REAJUSTE!$G$6</f>
        <v>1.0509999999999999</v>
      </c>
      <c r="I9" s="11">
        <f>5.96*H9</f>
        <v>6.26396</v>
      </c>
      <c r="J9" s="12">
        <f>G9*I9</f>
        <v>1732.8618944</v>
      </c>
    </row>
    <row r="10" spans="1:11">
      <c r="A10" s="41">
        <v>102</v>
      </c>
      <c r="B10" s="41"/>
      <c r="C10" s="58" t="s">
        <v>15</v>
      </c>
      <c r="D10" s="58"/>
      <c r="E10" s="58"/>
      <c r="F10" s="58"/>
      <c r="G10" s="58"/>
      <c r="H10" s="58"/>
      <c r="I10" s="58"/>
      <c r="J10" s="58"/>
    </row>
    <row r="11" spans="1:11" ht="11.25" customHeight="1">
      <c r="A11" s="37">
        <v>10201</v>
      </c>
      <c r="B11" s="37"/>
      <c r="C11" s="38" t="s">
        <v>16</v>
      </c>
      <c r="D11" s="38"/>
      <c r="E11" s="38"/>
      <c r="F11" s="1" t="s">
        <v>14</v>
      </c>
      <c r="G11" s="2">
        <v>276.64</v>
      </c>
      <c r="H11" s="4">
        <f>REAJUSTE!$G$6</f>
        <v>1.0509999999999999</v>
      </c>
      <c r="I11" s="11">
        <f>14.59*H9</f>
        <v>15.33409</v>
      </c>
      <c r="J11" s="12">
        <f>G11*I11</f>
        <v>4242.0226575999995</v>
      </c>
    </row>
    <row r="12" spans="1:11">
      <c r="A12" s="39" t="s">
        <v>63</v>
      </c>
      <c r="B12" s="40"/>
      <c r="C12" s="40"/>
      <c r="D12" s="40"/>
      <c r="E12" s="40"/>
      <c r="F12" s="40"/>
      <c r="G12" s="40"/>
      <c r="H12" s="40"/>
      <c r="I12" s="40"/>
      <c r="J12" s="10">
        <f>J11+J9</f>
        <v>5974.8845519999995</v>
      </c>
      <c r="K12" s="3"/>
    </row>
    <row r="13" spans="1:11">
      <c r="A13" s="48">
        <v>2</v>
      </c>
      <c r="B13" s="48"/>
      <c r="C13" s="51" t="s">
        <v>46</v>
      </c>
      <c r="D13" s="51"/>
      <c r="E13" s="51"/>
      <c r="F13" s="51"/>
      <c r="G13" s="51"/>
      <c r="H13" s="51"/>
      <c r="I13" s="51"/>
      <c r="J13" s="51"/>
    </row>
    <row r="14" spans="1:11">
      <c r="A14" s="48">
        <v>201</v>
      </c>
      <c r="B14" s="48"/>
      <c r="C14" s="51" t="s">
        <v>47</v>
      </c>
      <c r="D14" s="51"/>
      <c r="E14" s="51"/>
      <c r="F14" s="51"/>
      <c r="G14" s="51"/>
      <c r="H14" s="51"/>
      <c r="I14" s="51"/>
      <c r="J14" s="51"/>
    </row>
    <row r="15" spans="1:11">
      <c r="A15" s="48">
        <v>20101</v>
      </c>
      <c r="B15" s="48"/>
      <c r="C15" s="50" t="s">
        <v>17</v>
      </c>
      <c r="D15" s="50"/>
      <c r="E15" s="50"/>
      <c r="F15" s="1" t="s">
        <v>14</v>
      </c>
      <c r="G15" s="7">
        <v>8</v>
      </c>
      <c r="H15" s="4">
        <f>REAJUSTE!$G$6</f>
        <v>1.0509999999999999</v>
      </c>
      <c r="I15" s="9">
        <f>325.72*H9</f>
        <v>342.33172000000002</v>
      </c>
      <c r="J15" s="9">
        <f t="shared" ref="J15:J20" si="0">I15*G15</f>
        <v>2738.6537600000001</v>
      </c>
    </row>
    <row r="16" spans="1:11" ht="21.6" customHeight="1">
      <c r="A16" s="48">
        <v>20102</v>
      </c>
      <c r="B16" s="48"/>
      <c r="C16" s="49" t="s">
        <v>60</v>
      </c>
      <c r="D16" s="50"/>
      <c r="E16" s="50"/>
      <c r="F16" s="1" t="s">
        <v>18</v>
      </c>
      <c r="G16" s="7">
        <v>2</v>
      </c>
      <c r="H16" s="4">
        <f>REAJUSTE!$G$6</f>
        <v>1.0509999999999999</v>
      </c>
      <c r="I16" s="9">
        <f>868.8*H9</f>
        <v>913.10879999999986</v>
      </c>
      <c r="J16" s="9">
        <f t="shared" si="0"/>
        <v>1826.2175999999997</v>
      </c>
    </row>
    <row r="17" spans="1:10" ht="27.6" customHeight="1">
      <c r="A17" s="48">
        <v>20103</v>
      </c>
      <c r="B17" s="48"/>
      <c r="C17" s="49" t="s">
        <v>61</v>
      </c>
      <c r="D17" s="50"/>
      <c r="E17" s="50"/>
      <c r="F17" s="1" t="s">
        <v>18</v>
      </c>
      <c r="G17" s="7">
        <v>2</v>
      </c>
      <c r="H17" s="4">
        <f>REAJUSTE!$G$6</f>
        <v>1.0509999999999999</v>
      </c>
      <c r="I17" s="9">
        <f>929.18*H9</f>
        <v>976.56817999999987</v>
      </c>
      <c r="J17" s="9">
        <f t="shared" si="0"/>
        <v>1953.1363599999997</v>
      </c>
    </row>
    <row r="18" spans="1:10">
      <c r="A18" s="48">
        <v>20104</v>
      </c>
      <c r="B18" s="48"/>
      <c r="C18" s="49" t="s">
        <v>67</v>
      </c>
      <c r="D18" s="50"/>
      <c r="E18" s="50"/>
      <c r="F18" s="1" t="s">
        <v>19</v>
      </c>
      <c r="G18" s="7">
        <v>2</v>
      </c>
      <c r="H18" s="4">
        <f>REAJUSTE!$G$6</f>
        <v>1.0509999999999999</v>
      </c>
      <c r="I18" s="9">
        <f>1718.14*H9</f>
        <v>1805.76514</v>
      </c>
      <c r="J18" s="9">
        <f t="shared" si="0"/>
        <v>3611.5302799999999</v>
      </c>
    </row>
    <row r="19" spans="1:10">
      <c r="A19" s="48">
        <v>20105</v>
      </c>
      <c r="B19" s="48"/>
      <c r="C19" s="49" t="s">
        <v>62</v>
      </c>
      <c r="D19" s="50"/>
      <c r="E19" s="50"/>
      <c r="F19" s="1" t="s">
        <v>20</v>
      </c>
      <c r="G19" s="7">
        <v>200</v>
      </c>
      <c r="H19" s="4">
        <f>REAJUSTE!$G$6</f>
        <v>1.0509999999999999</v>
      </c>
      <c r="I19" s="9">
        <f>22.72*H9</f>
        <v>23.878719999999998</v>
      </c>
      <c r="J19" s="9">
        <f t="shared" si="0"/>
        <v>4775.7439999999997</v>
      </c>
    </row>
    <row r="20" spans="1:10" ht="31.9" customHeight="1">
      <c r="A20" s="48">
        <v>20106</v>
      </c>
      <c r="B20" s="48"/>
      <c r="C20" s="49" t="s">
        <v>68</v>
      </c>
      <c r="D20" s="50"/>
      <c r="E20" s="50"/>
      <c r="F20" s="1" t="s">
        <v>19</v>
      </c>
      <c r="G20" s="7">
        <v>2</v>
      </c>
      <c r="H20" s="4">
        <f>REAJUSTE!$G$6</f>
        <v>1.0509999999999999</v>
      </c>
      <c r="I20" s="9">
        <f>3305.3*H9</f>
        <v>3473.8703</v>
      </c>
      <c r="J20" s="9">
        <f t="shared" si="0"/>
        <v>6947.7406000000001</v>
      </c>
    </row>
    <row r="21" spans="1:10">
      <c r="A21" s="39" t="s">
        <v>64</v>
      </c>
      <c r="B21" s="40"/>
      <c r="C21" s="40"/>
      <c r="D21" s="40"/>
      <c r="E21" s="40"/>
      <c r="F21" s="40"/>
      <c r="G21" s="40"/>
      <c r="H21" s="40"/>
      <c r="I21" s="40"/>
      <c r="J21" s="10">
        <f>SUM(J15:J20)</f>
        <v>21853.0226</v>
      </c>
    </row>
    <row r="22" spans="1:10">
      <c r="A22" s="48">
        <v>3</v>
      </c>
      <c r="B22" s="48"/>
      <c r="C22" s="51" t="s">
        <v>48</v>
      </c>
      <c r="D22" s="51"/>
      <c r="E22" s="51"/>
      <c r="F22" s="51"/>
      <c r="G22" s="51"/>
      <c r="H22" s="51"/>
      <c r="I22" s="51"/>
      <c r="J22" s="51"/>
    </row>
    <row r="23" spans="1:10">
      <c r="A23" s="48">
        <v>301</v>
      </c>
      <c r="B23" s="48"/>
      <c r="C23" s="51" t="s">
        <v>49</v>
      </c>
      <c r="D23" s="51"/>
      <c r="E23" s="51"/>
      <c r="F23" s="51"/>
      <c r="G23" s="51"/>
      <c r="H23" s="51"/>
      <c r="I23" s="51"/>
      <c r="J23" s="51"/>
    </row>
    <row r="24" spans="1:10">
      <c r="A24" s="48">
        <v>30101</v>
      </c>
      <c r="B24" s="48"/>
      <c r="C24" s="49" t="s">
        <v>56</v>
      </c>
      <c r="D24" s="50"/>
      <c r="E24" s="50"/>
      <c r="F24" s="1" t="s">
        <v>21</v>
      </c>
      <c r="G24" s="6">
        <v>74.010000000000005</v>
      </c>
      <c r="H24" s="4">
        <f>REAJUSTE!$G$6</f>
        <v>1.0509999999999999</v>
      </c>
      <c r="I24" s="9">
        <f>77.43*H9</f>
        <v>81.378929999999997</v>
      </c>
      <c r="J24" s="9">
        <f>I24*G24</f>
        <v>6022.8546093000004</v>
      </c>
    </row>
    <row r="25" spans="1:10">
      <c r="A25" s="48">
        <v>302</v>
      </c>
      <c r="B25" s="48"/>
      <c r="C25" s="51" t="s">
        <v>50</v>
      </c>
      <c r="D25" s="51"/>
      <c r="E25" s="51"/>
      <c r="F25" s="51"/>
      <c r="G25" s="51"/>
      <c r="H25" s="51"/>
      <c r="I25" s="51"/>
      <c r="J25" s="51"/>
    </row>
    <row r="26" spans="1:10">
      <c r="A26" s="48">
        <v>30201</v>
      </c>
      <c r="B26" s="48"/>
      <c r="C26" s="52" t="s">
        <v>22</v>
      </c>
      <c r="D26" s="52"/>
      <c r="E26" s="52"/>
      <c r="F26" s="1" t="s">
        <v>21</v>
      </c>
      <c r="G26" s="6">
        <v>6.52</v>
      </c>
      <c r="H26" s="4">
        <f>REAJUSTE!$G$6</f>
        <v>1.0509999999999999</v>
      </c>
      <c r="I26" s="9">
        <f>83.39*H9</f>
        <v>87.642889999999994</v>
      </c>
      <c r="J26" s="9">
        <f t="shared" ref="J26:J27" si="1">I26*G26</f>
        <v>571.43164279999996</v>
      </c>
    </row>
    <row r="27" spans="1:10">
      <c r="A27" s="48">
        <v>30202</v>
      </c>
      <c r="B27" s="48"/>
      <c r="C27" s="49" t="s">
        <v>55</v>
      </c>
      <c r="D27" s="50"/>
      <c r="E27" s="50"/>
      <c r="F27" s="1" t="s">
        <v>14</v>
      </c>
      <c r="G27" s="6">
        <v>276.64</v>
      </c>
      <c r="H27" s="4">
        <f>REAJUSTE!$G$6</f>
        <v>1.0509999999999999</v>
      </c>
      <c r="I27" s="9">
        <f>23.67*H9</f>
        <v>24.87717</v>
      </c>
      <c r="J27" s="9">
        <f t="shared" si="1"/>
        <v>6882.0203087999998</v>
      </c>
    </row>
    <row r="28" spans="1:10">
      <c r="A28" s="39" t="s">
        <v>65</v>
      </c>
      <c r="B28" s="40"/>
      <c r="C28" s="40"/>
      <c r="D28" s="40"/>
      <c r="E28" s="40"/>
      <c r="F28" s="40"/>
      <c r="G28" s="40"/>
      <c r="H28" s="40"/>
      <c r="I28" s="40"/>
      <c r="J28" s="10">
        <f>SUM(J24:J27)</f>
        <v>13476.3065609</v>
      </c>
    </row>
    <row r="29" spans="1:10">
      <c r="A29" s="48">
        <v>4</v>
      </c>
      <c r="B29" s="48"/>
      <c r="C29" s="51" t="s">
        <v>51</v>
      </c>
      <c r="D29" s="51"/>
      <c r="E29" s="51"/>
      <c r="F29" s="51"/>
      <c r="G29" s="51"/>
      <c r="H29" s="51"/>
      <c r="I29" s="51"/>
      <c r="J29" s="51"/>
    </row>
    <row r="30" spans="1:10">
      <c r="A30" s="48">
        <v>401</v>
      </c>
      <c r="B30" s="48"/>
      <c r="C30" s="51" t="s">
        <v>52</v>
      </c>
      <c r="D30" s="51"/>
      <c r="E30" s="51"/>
      <c r="F30" s="51"/>
      <c r="G30" s="51"/>
      <c r="H30" s="51"/>
      <c r="I30" s="51"/>
      <c r="J30" s="51"/>
    </row>
    <row r="31" spans="1:10" ht="25.9" customHeight="1">
      <c r="A31" s="48">
        <v>40101</v>
      </c>
      <c r="B31" s="48"/>
      <c r="C31" s="49" t="s">
        <v>59</v>
      </c>
      <c r="D31" s="50"/>
      <c r="E31" s="50"/>
      <c r="F31" s="1" t="s">
        <v>20</v>
      </c>
      <c r="G31" s="5">
        <v>18.2</v>
      </c>
      <c r="H31" s="4">
        <f>REAJUSTE!$G$6</f>
        <v>1.0509999999999999</v>
      </c>
      <c r="I31" s="9">
        <f>277.8*H9</f>
        <v>291.96780000000001</v>
      </c>
      <c r="J31" s="9">
        <f t="shared" ref="J31" si="2">I31*G31</f>
        <v>5313.8139600000004</v>
      </c>
    </row>
    <row r="32" spans="1:10">
      <c r="A32" s="48">
        <v>402</v>
      </c>
      <c r="B32" s="48"/>
      <c r="C32" s="51" t="s">
        <v>53</v>
      </c>
      <c r="D32" s="51"/>
      <c r="E32" s="51"/>
      <c r="F32" s="51"/>
      <c r="G32" s="51"/>
      <c r="H32" s="51"/>
      <c r="I32" s="51"/>
      <c r="J32" s="51"/>
    </row>
    <row r="33" spans="1:10" ht="15" customHeight="1">
      <c r="A33" s="48">
        <v>40201</v>
      </c>
      <c r="B33" s="48"/>
      <c r="C33" s="49" t="s">
        <v>58</v>
      </c>
      <c r="D33" s="50"/>
      <c r="E33" s="50"/>
      <c r="F33" s="1" t="s">
        <v>20</v>
      </c>
      <c r="G33" s="7">
        <v>2</v>
      </c>
      <c r="H33" s="4">
        <f>REAJUSTE!$G$6</f>
        <v>1.0509999999999999</v>
      </c>
      <c r="I33" s="9">
        <f>138.55*H9</f>
        <v>145.61605</v>
      </c>
      <c r="J33" s="9">
        <f t="shared" ref="J33" si="3">I33*G33</f>
        <v>291.2321</v>
      </c>
    </row>
    <row r="34" spans="1:10">
      <c r="A34" s="48">
        <v>403</v>
      </c>
      <c r="B34" s="48"/>
      <c r="C34" s="51" t="s">
        <v>54</v>
      </c>
      <c r="D34" s="51"/>
      <c r="E34" s="51"/>
      <c r="F34" s="51"/>
      <c r="G34" s="51"/>
      <c r="H34" s="51"/>
      <c r="I34" s="51"/>
      <c r="J34" s="51"/>
    </row>
    <row r="35" spans="1:10" ht="28.15" customHeight="1">
      <c r="A35" s="48">
        <v>40301</v>
      </c>
      <c r="B35" s="48"/>
      <c r="C35" s="49" t="s">
        <v>57</v>
      </c>
      <c r="D35" s="50"/>
      <c r="E35" s="50"/>
      <c r="F35" s="1" t="s">
        <v>19</v>
      </c>
      <c r="G35" s="7">
        <v>2</v>
      </c>
      <c r="H35" s="4">
        <f>REAJUSTE!$G$6</f>
        <v>1.0509999999999999</v>
      </c>
      <c r="I35" s="9">
        <f>1067.01*H9</f>
        <v>1121.42751</v>
      </c>
      <c r="J35" s="9">
        <f t="shared" ref="J35" si="4">I35*G35</f>
        <v>2242.85502</v>
      </c>
    </row>
    <row r="36" spans="1:10">
      <c r="A36" s="39" t="s">
        <v>66</v>
      </c>
      <c r="B36" s="40"/>
      <c r="C36" s="40"/>
      <c r="D36" s="40"/>
      <c r="E36" s="40"/>
      <c r="F36" s="40"/>
      <c r="G36" s="40"/>
      <c r="H36" s="40"/>
      <c r="I36" s="40"/>
      <c r="J36" s="10">
        <f>J31+J33+J35</f>
        <v>7847.9010800000005</v>
      </c>
    </row>
    <row r="37" spans="1:10">
      <c r="A37" s="55">
        <v>5</v>
      </c>
      <c r="B37" s="55"/>
      <c r="C37" s="149" t="s">
        <v>122</v>
      </c>
      <c r="D37" s="62"/>
      <c r="E37" s="62"/>
      <c r="F37" s="62"/>
      <c r="G37" s="62"/>
      <c r="H37" s="62"/>
      <c r="I37" s="62"/>
      <c r="J37" s="62"/>
    </row>
    <row r="38" spans="1:10">
      <c r="A38" s="54">
        <v>501</v>
      </c>
      <c r="B38" s="54"/>
      <c r="C38" s="61" t="s">
        <v>23</v>
      </c>
      <c r="D38" s="62"/>
      <c r="E38" s="62"/>
      <c r="F38" s="62"/>
      <c r="G38" s="62"/>
      <c r="H38" s="62"/>
      <c r="I38" s="62"/>
      <c r="J38" s="62"/>
    </row>
    <row r="39" spans="1:10" ht="24.6" customHeight="1">
      <c r="A39" s="53">
        <v>50101</v>
      </c>
      <c r="B39" s="53"/>
      <c r="C39" s="63" t="s">
        <v>24</v>
      </c>
      <c r="D39" s="64"/>
      <c r="E39" s="65"/>
      <c r="F39" s="4" t="s">
        <v>20</v>
      </c>
      <c r="G39" s="5">
        <v>66.8</v>
      </c>
      <c r="H39" s="4">
        <f>REAJUSTE!$G$6</f>
        <v>1.0509999999999999</v>
      </c>
      <c r="I39" s="9">
        <f>108.32*H9</f>
        <v>113.84431999999998</v>
      </c>
      <c r="J39" s="9">
        <f>I39*G39</f>
        <v>7604.8005759999987</v>
      </c>
    </row>
    <row r="40" spans="1:10">
      <c r="A40" s="53">
        <v>50102</v>
      </c>
      <c r="B40" s="53"/>
      <c r="C40" s="63" t="s">
        <v>25</v>
      </c>
      <c r="D40" s="64"/>
      <c r="E40" s="65"/>
      <c r="F40" s="4" t="s">
        <v>14</v>
      </c>
      <c r="G40" s="6">
        <v>3.73</v>
      </c>
      <c r="H40" s="4">
        <f>REAJUSTE!$G$6</f>
        <v>1.0509999999999999</v>
      </c>
      <c r="I40" s="9">
        <f>1365.23*H9</f>
        <v>1434.85673</v>
      </c>
      <c r="J40" s="9">
        <f t="shared" ref="J40:J42" si="5">I40*G40</f>
        <v>5352.0156029</v>
      </c>
    </row>
    <row r="41" spans="1:10" ht="24.6" customHeight="1">
      <c r="A41" s="53">
        <v>50103</v>
      </c>
      <c r="B41" s="53"/>
      <c r="C41" s="63" t="s">
        <v>26</v>
      </c>
      <c r="D41" s="64"/>
      <c r="E41" s="65"/>
      <c r="F41" s="4" t="s">
        <v>20</v>
      </c>
      <c r="G41" s="5">
        <v>64.599999999999994</v>
      </c>
      <c r="H41" s="4">
        <f>REAJUSTE!$G$6</f>
        <v>1.0509999999999999</v>
      </c>
      <c r="I41" s="9">
        <f>441.18*H9</f>
        <v>463.68017999999995</v>
      </c>
      <c r="J41" s="9">
        <f t="shared" si="5"/>
        <v>29953.739627999996</v>
      </c>
    </row>
    <row r="42" spans="1:10" ht="24" customHeight="1">
      <c r="A42" s="53">
        <v>50104</v>
      </c>
      <c r="B42" s="53"/>
      <c r="C42" s="63" t="s">
        <v>27</v>
      </c>
      <c r="D42" s="64"/>
      <c r="E42" s="65"/>
      <c r="F42" s="4" t="s">
        <v>19</v>
      </c>
      <c r="G42" s="7">
        <v>1</v>
      </c>
      <c r="H42" s="4">
        <f>REAJUSTE!$G$6</f>
        <v>1.0509999999999999</v>
      </c>
      <c r="I42" s="9">
        <f>3334.83*H9</f>
        <v>3504.9063299999998</v>
      </c>
      <c r="J42" s="9">
        <f t="shared" si="5"/>
        <v>3504.9063299999998</v>
      </c>
    </row>
    <row r="43" spans="1:10">
      <c r="A43" s="54">
        <v>502</v>
      </c>
      <c r="B43" s="54"/>
      <c r="C43" s="61" t="s">
        <v>28</v>
      </c>
      <c r="D43" s="62"/>
      <c r="E43" s="62"/>
      <c r="F43" s="62"/>
      <c r="G43" s="62"/>
      <c r="H43" s="62"/>
      <c r="I43" s="62"/>
      <c r="J43" s="62"/>
    </row>
    <row r="44" spans="1:10" ht="25.9" customHeight="1">
      <c r="A44" s="53">
        <v>50201</v>
      </c>
      <c r="B44" s="53"/>
      <c r="C44" s="63" t="s">
        <v>29</v>
      </c>
      <c r="D44" s="64"/>
      <c r="E44" s="65"/>
      <c r="F44" s="4" t="s">
        <v>14</v>
      </c>
      <c r="G44" s="6">
        <v>276.64</v>
      </c>
      <c r="H44" s="4">
        <f>REAJUSTE!$G$6</f>
        <v>1.0509999999999999</v>
      </c>
      <c r="I44" s="9">
        <f>160.35*H9</f>
        <v>168.52784999999997</v>
      </c>
      <c r="J44" s="9">
        <f t="shared" ref="J44:J49" si="6">I44*G44</f>
        <v>46621.544423999992</v>
      </c>
    </row>
    <row r="45" spans="1:10" ht="22.15" customHeight="1">
      <c r="A45" s="53">
        <v>50202</v>
      </c>
      <c r="B45" s="53"/>
      <c r="C45" s="63" t="s">
        <v>30</v>
      </c>
      <c r="D45" s="64"/>
      <c r="E45" s="65"/>
      <c r="F45" s="4" t="s">
        <v>14</v>
      </c>
      <c r="G45" s="6">
        <v>276.64</v>
      </c>
      <c r="H45" s="4">
        <f>REAJUSTE!$G$6</f>
        <v>1.0509999999999999</v>
      </c>
      <c r="I45" s="9">
        <f>29.91*H9</f>
        <v>31.435409999999997</v>
      </c>
      <c r="J45" s="9">
        <f t="shared" si="6"/>
        <v>8696.2918223999986</v>
      </c>
    </row>
    <row r="46" spans="1:10">
      <c r="A46" s="53">
        <v>50203</v>
      </c>
      <c r="B46" s="53"/>
      <c r="C46" s="63" t="s">
        <v>31</v>
      </c>
      <c r="D46" s="64"/>
      <c r="E46" s="65"/>
      <c r="F46" s="4" t="s">
        <v>14</v>
      </c>
      <c r="G46" s="6">
        <v>276.64</v>
      </c>
      <c r="H46" s="4">
        <f>REAJUSTE!$G$6</f>
        <v>1.0509999999999999</v>
      </c>
      <c r="I46" s="9">
        <f>66.97*H9</f>
        <v>70.385469999999998</v>
      </c>
      <c r="J46" s="9">
        <f t="shared" si="6"/>
        <v>19471.436420799997</v>
      </c>
    </row>
    <row r="47" spans="1:10">
      <c r="A47" s="53">
        <v>50204</v>
      </c>
      <c r="B47" s="53"/>
      <c r="C47" s="63" t="s">
        <v>32</v>
      </c>
      <c r="D47" s="64"/>
      <c r="E47" s="65"/>
      <c r="F47" s="4" t="s">
        <v>14</v>
      </c>
      <c r="G47" s="6">
        <v>276.64</v>
      </c>
      <c r="H47" s="4">
        <f>REAJUSTE!$G$6</f>
        <v>1.0509999999999999</v>
      </c>
      <c r="I47" s="9">
        <f>669.46*H9</f>
        <v>703.60245999999995</v>
      </c>
      <c r="J47" s="9">
        <f t="shared" si="6"/>
        <v>194644.58453439997</v>
      </c>
    </row>
    <row r="48" spans="1:10" ht="13.15" customHeight="1">
      <c r="A48" s="53">
        <v>50205</v>
      </c>
      <c r="B48" s="53"/>
      <c r="C48" s="63" t="s">
        <v>33</v>
      </c>
      <c r="D48" s="64"/>
      <c r="E48" s="65"/>
      <c r="F48" s="4" t="s">
        <v>20</v>
      </c>
      <c r="G48" s="5">
        <v>100.8</v>
      </c>
      <c r="H48" s="4">
        <f>REAJUSTE!$G$6</f>
        <v>1.0509999999999999</v>
      </c>
      <c r="I48" s="9">
        <f>88.05*H9</f>
        <v>92.540549999999996</v>
      </c>
      <c r="J48" s="9">
        <f t="shared" si="6"/>
        <v>9328.0874399999993</v>
      </c>
    </row>
    <row r="49" spans="1:10" ht="13.15" customHeight="1">
      <c r="A49" s="53">
        <v>50206</v>
      </c>
      <c r="B49" s="53"/>
      <c r="C49" s="63" t="s">
        <v>34</v>
      </c>
      <c r="D49" s="64"/>
      <c r="E49" s="65"/>
      <c r="F49" s="4" t="s">
        <v>14</v>
      </c>
      <c r="G49" s="6">
        <v>42.34</v>
      </c>
      <c r="H49" s="4">
        <f>REAJUSTE!$G$6</f>
        <v>1.0509999999999999</v>
      </c>
      <c r="I49" s="9">
        <f>15.46*H9</f>
        <v>16.248460000000001</v>
      </c>
      <c r="J49" s="9">
        <f t="shared" si="6"/>
        <v>687.95979640000007</v>
      </c>
    </row>
    <row r="50" spans="1:10">
      <c r="A50" s="54">
        <v>503</v>
      </c>
      <c r="B50" s="54"/>
      <c r="C50" s="61" t="s">
        <v>35</v>
      </c>
      <c r="D50" s="62"/>
      <c r="E50" s="62"/>
      <c r="F50" s="62"/>
      <c r="G50" s="62"/>
      <c r="H50" s="62"/>
      <c r="I50" s="62"/>
      <c r="J50" s="62"/>
    </row>
    <row r="51" spans="1:10" ht="22.9" customHeight="1">
      <c r="A51" s="53">
        <v>50301</v>
      </c>
      <c r="B51" s="53"/>
      <c r="C51" s="63" t="s">
        <v>36</v>
      </c>
      <c r="D51" s="64"/>
      <c r="E51" s="65"/>
      <c r="F51" s="4" t="s">
        <v>19</v>
      </c>
      <c r="G51" s="7">
        <v>4</v>
      </c>
      <c r="H51" s="4">
        <f>REAJUSTE!$G$6</f>
        <v>1.0509999999999999</v>
      </c>
      <c r="I51" s="9">
        <f>2810.78*H9</f>
        <v>2954.1297800000002</v>
      </c>
      <c r="J51" s="9">
        <f t="shared" ref="J51:J53" si="7">I51*G51</f>
        <v>11816.519120000001</v>
      </c>
    </row>
    <row r="52" spans="1:10" ht="21" customHeight="1">
      <c r="A52" s="53">
        <v>50302</v>
      </c>
      <c r="B52" s="53"/>
      <c r="C52" s="63" t="s">
        <v>37</v>
      </c>
      <c r="D52" s="64"/>
      <c r="E52" s="65"/>
      <c r="F52" s="4" t="s">
        <v>19</v>
      </c>
      <c r="G52" s="7">
        <v>8</v>
      </c>
      <c r="H52" s="4">
        <f>REAJUSTE!$G$6</f>
        <v>1.0509999999999999</v>
      </c>
      <c r="I52" s="9">
        <f>2106.92*H9</f>
        <v>2214.3729199999998</v>
      </c>
      <c r="J52" s="9">
        <f t="shared" si="7"/>
        <v>17714.983359999998</v>
      </c>
    </row>
    <row r="53" spans="1:10">
      <c r="A53" s="53">
        <v>50303</v>
      </c>
      <c r="B53" s="53"/>
      <c r="C53" s="63" t="s">
        <v>38</v>
      </c>
      <c r="D53" s="64"/>
      <c r="E53" s="65"/>
      <c r="F53" s="4" t="s">
        <v>19</v>
      </c>
      <c r="G53" s="7">
        <v>144</v>
      </c>
      <c r="H53" s="4">
        <f>REAJUSTE!$G$6</f>
        <v>1.0509999999999999</v>
      </c>
      <c r="I53" s="9">
        <f>23.07*H9</f>
        <v>24.246569999999998</v>
      </c>
      <c r="J53" s="9">
        <f t="shared" si="7"/>
        <v>3491.5060799999997</v>
      </c>
    </row>
    <row r="54" spans="1:10">
      <c r="A54" s="54">
        <v>504</v>
      </c>
      <c r="B54" s="54"/>
      <c r="C54" s="61" t="s">
        <v>39</v>
      </c>
      <c r="D54" s="62"/>
      <c r="E54" s="62"/>
      <c r="F54" s="62"/>
      <c r="G54" s="62"/>
      <c r="H54" s="62"/>
      <c r="I54" s="62"/>
      <c r="J54" s="62"/>
    </row>
    <row r="55" spans="1:10">
      <c r="A55" s="53">
        <v>50401</v>
      </c>
      <c r="B55" s="53"/>
      <c r="C55" s="63" t="s">
        <v>40</v>
      </c>
      <c r="D55" s="64"/>
      <c r="E55" s="65"/>
      <c r="F55" s="4" t="s">
        <v>14</v>
      </c>
      <c r="G55" s="6">
        <v>276.64</v>
      </c>
      <c r="H55" s="4">
        <f>REAJUSTE!$G$6</f>
        <v>1.0509999999999999</v>
      </c>
      <c r="I55" s="9">
        <f>1.67*H9</f>
        <v>1.7551699999999999</v>
      </c>
      <c r="J55" s="9">
        <f t="shared" ref="J55" si="8">I55*G55</f>
        <v>485.55022879999996</v>
      </c>
    </row>
    <row r="56" spans="1:10">
      <c r="A56" s="39" t="s">
        <v>44</v>
      </c>
      <c r="B56" s="40"/>
      <c r="C56" s="40"/>
      <c r="D56" s="40"/>
      <c r="E56" s="40"/>
      <c r="F56" s="40"/>
      <c r="G56" s="40"/>
      <c r="H56" s="40"/>
      <c r="I56" s="40"/>
      <c r="J56" s="10">
        <f>J39+J40+J41+J42+J44+J45+J46+J47+J48+J49+J51+J52+J53+J55</f>
        <v>359373.92536369991</v>
      </c>
    </row>
    <row r="57" spans="1:10">
      <c r="A57" s="39" t="s">
        <v>45</v>
      </c>
      <c r="B57" s="40"/>
      <c r="C57" s="40"/>
      <c r="D57" s="40"/>
      <c r="E57" s="40"/>
      <c r="F57" s="40"/>
      <c r="G57" s="40"/>
      <c r="H57" s="40"/>
      <c r="I57" s="40"/>
      <c r="J57" s="10">
        <f>J56+J36+J28+J21+J12</f>
        <v>408526.04015659989</v>
      </c>
    </row>
    <row r="60" spans="1:10" ht="15">
      <c r="A60" s="23"/>
      <c r="B60" s="23"/>
      <c r="C60" s="25"/>
      <c r="D60" s="35" t="s">
        <v>82</v>
      </c>
      <c r="E60" s="35"/>
      <c r="F60" s="35"/>
      <c r="G60" s="35"/>
      <c r="H60" s="35"/>
      <c r="I60" s="35"/>
      <c r="J60" s="35"/>
    </row>
    <row r="61" spans="1:10" ht="15">
      <c r="A61" s="23"/>
      <c r="B61" s="23"/>
      <c r="C61" s="25"/>
      <c r="D61" s="22"/>
      <c r="E61" s="22"/>
      <c r="F61" s="22"/>
      <c r="G61" s="22"/>
      <c r="H61" s="22"/>
    </row>
    <row r="62" spans="1:10" ht="15">
      <c r="A62" s="23"/>
      <c r="B62" s="23"/>
      <c r="C62" s="25"/>
      <c r="D62" s="22"/>
      <c r="E62" s="22"/>
      <c r="F62" s="22"/>
      <c r="G62" s="22"/>
      <c r="H62" s="22"/>
    </row>
    <row r="63" spans="1:10" ht="15">
      <c r="A63" s="23"/>
      <c r="B63" s="23"/>
      <c r="C63" s="25"/>
      <c r="D63" s="22"/>
      <c r="E63" s="22"/>
      <c r="F63" s="22"/>
      <c r="G63" s="22"/>
      <c r="H63" s="22"/>
    </row>
    <row r="64" spans="1:10" ht="14.25">
      <c r="A64" s="26"/>
      <c r="B64" s="26"/>
      <c r="C64" s="25"/>
      <c r="D64" s="22"/>
      <c r="E64" s="22"/>
      <c r="F64" s="22"/>
      <c r="G64" s="22"/>
      <c r="H64" s="22"/>
    </row>
    <row r="65" spans="1:10" ht="14.25">
      <c r="A65" s="36" t="s">
        <v>78</v>
      </c>
      <c r="B65" s="36"/>
      <c r="C65" s="36"/>
      <c r="D65" s="36"/>
      <c r="E65" s="36"/>
      <c r="F65" s="36"/>
      <c r="G65" s="36"/>
      <c r="H65" s="36"/>
      <c r="I65" s="36"/>
      <c r="J65" s="36"/>
    </row>
    <row r="66" spans="1:10" ht="14.25">
      <c r="A66" s="36" t="s">
        <v>79</v>
      </c>
      <c r="B66" s="36"/>
      <c r="C66" s="36"/>
      <c r="D66" s="36"/>
      <c r="E66" s="36"/>
      <c r="F66" s="36"/>
      <c r="G66" s="36"/>
      <c r="H66" s="36"/>
      <c r="I66" s="36"/>
      <c r="J66" s="36"/>
    </row>
    <row r="67" spans="1:10" ht="14.25">
      <c r="A67" s="36" t="s">
        <v>80</v>
      </c>
      <c r="B67" s="36"/>
      <c r="C67" s="36"/>
      <c r="D67" s="36"/>
      <c r="E67" s="36"/>
      <c r="F67" s="36"/>
      <c r="G67" s="36"/>
      <c r="H67" s="36"/>
      <c r="I67" s="36"/>
      <c r="J67" s="36"/>
    </row>
    <row r="68" spans="1:10" ht="14.25">
      <c r="A68" s="36" t="s">
        <v>83</v>
      </c>
      <c r="B68" s="36"/>
      <c r="C68" s="36"/>
      <c r="D68" s="36"/>
      <c r="E68" s="36"/>
      <c r="F68" s="36"/>
      <c r="G68" s="36"/>
      <c r="H68" s="36"/>
      <c r="I68" s="36"/>
      <c r="J68" s="36"/>
    </row>
  </sheetData>
  <mergeCells count="114">
    <mergeCell ref="A56:I56"/>
    <mergeCell ref="A57:I57"/>
    <mergeCell ref="C37:J37"/>
    <mergeCell ref="C38:J38"/>
    <mergeCell ref="C43:J43"/>
    <mergeCell ref="C50:J50"/>
    <mergeCell ref="C54:J54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1:E51"/>
    <mergeCell ref="C52:E52"/>
    <mergeCell ref="C53:E53"/>
    <mergeCell ref="A53:B53"/>
    <mergeCell ref="A54:B54"/>
    <mergeCell ref="A55:B55"/>
    <mergeCell ref="C55:E55"/>
    <mergeCell ref="A1:J1"/>
    <mergeCell ref="G4:I4"/>
    <mergeCell ref="G5:I5"/>
    <mergeCell ref="C4:F4"/>
    <mergeCell ref="C5:F5"/>
    <mergeCell ref="C7:J7"/>
    <mergeCell ref="C8:J8"/>
    <mergeCell ref="C10:J10"/>
    <mergeCell ref="C6:E6"/>
    <mergeCell ref="A7:B7"/>
    <mergeCell ref="A6:B6"/>
    <mergeCell ref="A4:B4"/>
    <mergeCell ref="A50:B50"/>
    <mergeCell ref="A51:B51"/>
    <mergeCell ref="A52:B52"/>
    <mergeCell ref="A47:B47"/>
    <mergeCell ref="A48:B48"/>
    <mergeCell ref="A49:B49"/>
    <mergeCell ref="A44:B44"/>
    <mergeCell ref="A45:B45"/>
    <mergeCell ref="A46:B46"/>
    <mergeCell ref="A41:B41"/>
    <mergeCell ref="A42:B42"/>
    <mergeCell ref="A43:B43"/>
    <mergeCell ref="A38:B38"/>
    <mergeCell ref="A39:B39"/>
    <mergeCell ref="A40:B40"/>
    <mergeCell ref="A35:B35"/>
    <mergeCell ref="C35:E35"/>
    <mergeCell ref="A37:B37"/>
    <mergeCell ref="A36:I36"/>
    <mergeCell ref="C32:J32"/>
    <mergeCell ref="A33:B33"/>
    <mergeCell ref="C33:E33"/>
    <mergeCell ref="A34:B34"/>
    <mergeCell ref="C34:J34"/>
    <mergeCell ref="A29:B29"/>
    <mergeCell ref="C29:J29"/>
    <mergeCell ref="A30:B30"/>
    <mergeCell ref="C30:J30"/>
    <mergeCell ref="A31:B31"/>
    <mergeCell ref="C31:E31"/>
    <mergeCell ref="A5:B5"/>
    <mergeCell ref="A2:C2"/>
    <mergeCell ref="D2:J2"/>
    <mergeCell ref="A3:F3"/>
    <mergeCell ref="G3:I3"/>
    <mergeCell ref="A20:B20"/>
    <mergeCell ref="C20:E20"/>
    <mergeCell ref="A22:B22"/>
    <mergeCell ref="C22:J22"/>
    <mergeCell ref="A21:I21"/>
    <mergeCell ref="A18:B18"/>
    <mergeCell ref="C18:E18"/>
    <mergeCell ref="A19:B19"/>
    <mergeCell ref="C19:E19"/>
    <mergeCell ref="A13:B13"/>
    <mergeCell ref="C13:J13"/>
    <mergeCell ref="A14:B14"/>
    <mergeCell ref="C14:J14"/>
    <mergeCell ref="A15:B15"/>
    <mergeCell ref="C15:E15"/>
    <mergeCell ref="A16:B16"/>
    <mergeCell ref="C16:E16"/>
    <mergeCell ref="A17:B17"/>
    <mergeCell ref="C17:E17"/>
    <mergeCell ref="D60:J60"/>
    <mergeCell ref="A65:J65"/>
    <mergeCell ref="A66:J66"/>
    <mergeCell ref="A67:J67"/>
    <mergeCell ref="A68:J68"/>
    <mergeCell ref="A11:B11"/>
    <mergeCell ref="C11:E11"/>
    <mergeCell ref="A12:I12"/>
    <mergeCell ref="A8:B8"/>
    <mergeCell ref="A9:B9"/>
    <mergeCell ref="C9:E9"/>
    <mergeCell ref="A10:B10"/>
    <mergeCell ref="A26:B26"/>
    <mergeCell ref="C26:E26"/>
    <mergeCell ref="A27:B27"/>
    <mergeCell ref="C27:E27"/>
    <mergeCell ref="A28:I28"/>
    <mergeCell ref="A23:B23"/>
    <mergeCell ref="C23:J23"/>
    <mergeCell ref="A24:B24"/>
    <mergeCell ref="C24:E24"/>
    <mergeCell ref="A25:B25"/>
    <mergeCell ref="C25:J25"/>
    <mergeCell ref="A32:B32"/>
  </mergeCell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1560-8EF0-45A2-9CA4-8187A9454082}">
  <dimension ref="A1:E40"/>
  <sheetViews>
    <sheetView view="pageBreakPreview" zoomScaleNormal="100" zoomScaleSheetLayoutView="100" workbookViewId="0">
      <selection activeCell="M31" sqref="M31"/>
    </sheetView>
  </sheetViews>
  <sheetFormatPr defaultRowHeight="12.75"/>
  <cols>
    <col min="2" max="2" width="64.83203125" customWidth="1"/>
    <col min="3" max="3" width="16.83203125" customWidth="1"/>
    <col min="4" max="4" width="16.33203125" customWidth="1"/>
    <col min="5" max="5" width="13.83203125" customWidth="1"/>
  </cols>
  <sheetData>
    <row r="1" spans="1:5" ht="15.75">
      <c r="A1" s="73" t="s">
        <v>84</v>
      </c>
      <c r="B1" s="73"/>
      <c r="C1" s="73"/>
      <c r="D1" s="73"/>
      <c r="E1" s="105"/>
    </row>
    <row r="2" spans="1:5" ht="15.75">
      <c r="A2" s="74"/>
      <c r="B2" s="74"/>
      <c r="C2" s="74"/>
      <c r="D2" s="74"/>
      <c r="E2" s="74"/>
    </row>
    <row r="3" spans="1:5" ht="16.5" thickBot="1">
      <c r="A3" s="75"/>
      <c r="B3" s="75"/>
      <c r="C3" s="75"/>
      <c r="D3" s="75"/>
      <c r="E3" s="76"/>
    </row>
    <row r="4" spans="1:5">
      <c r="A4" s="77" t="s">
        <v>85</v>
      </c>
      <c r="B4" s="78" t="s">
        <v>107</v>
      </c>
      <c r="C4" s="78"/>
      <c r="D4" s="79"/>
      <c r="E4" s="80"/>
    </row>
    <row r="5" spans="1:5">
      <c r="A5" s="77"/>
      <c r="B5" s="81"/>
      <c r="C5" s="81"/>
      <c r="D5" s="81"/>
      <c r="E5" s="80"/>
    </row>
    <row r="6" spans="1:5">
      <c r="A6" s="82" t="s">
        <v>86</v>
      </c>
      <c r="B6" s="82"/>
      <c r="C6" s="82"/>
      <c r="D6" s="82"/>
      <c r="E6" s="80"/>
    </row>
    <row r="7" spans="1:5">
      <c r="A7" s="83"/>
      <c r="B7" s="84" t="s">
        <v>87</v>
      </c>
      <c r="C7" s="84"/>
      <c r="D7" s="84"/>
      <c r="E7" s="80"/>
    </row>
    <row r="8" spans="1:5">
      <c r="A8" s="83"/>
      <c r="B8" s="83"/>
      <c r="C8" s="85"/>
      <c r="D8" s="86"/>
      <c r="E8" s="80"/>
    </row>
    <row r="9" spans="1:5">
      <c r="A9" s="86" t="s">
        <v>88</v>
      </c>
      <c r="B9" s="86"/>
      <c r="C9" s="86"/>
      <c r="D9" s="86"/>
      <c r="E9" s="86"/>
    </row>
    <row r="10" spans="1:5">
      <c r="A10" s="87"/>
      <c r="B10" s="87"/>
      <c r="C10" s="88"/>
      <c r="D10" s="88"/>
      <c r="E10" s="83"/>
    </row>
    <row r="11" spans="1:5">
      <c r="A11" s="89"/>
      <c r="B11" s="90" t="s">
        <v>89</v>
      </c>
      <c r="C11" s="91">
        <v>5.49</v>
      </c>
      <c r="D11" s="92" t="s">
        <v>90</v>
      </c>
      <c r="E11" s="87"/>
    </row>
    <row r="12" spans="1:5">
      <c r="A12" s="89"/>
      <c r="B12" s="90" t="s">
        <v>91</v>
      </c>
      <c r="C12" s="91">
        <v>6.99</v>
      </c>
      <c r="D12" s="92" t="s">
        <v>90</v>
      </c>
      <c r="E12" s="87"/>
    </row>
    <row r="13" spans="1:5">
      <c r="A13" s="89"/>
      <c r="B13" s="90" t="s">
        <v>92</v>
      </c>
      <c r="C13" s="91">
        <v>0.3</v>
      </c>
      <c r="D13" s="92" t="s">
        <v>90</v>
      </c>
      <c r="E13" s="83"/>
    </row>
    <row r="14" spans="1:5">
      <c r="A14" s="89"/>
      <c r="B14" s="90" t="s">
        <v>93</v>
      </c>
      <c r="C14" s="91">
        <v>0.3</v>
      </c>
      <c r="D14" s="92" t="s">
        <v>90</v>
      </c>
      <c r="E14" s="93"/>
    </row>
    <row r="15" spans="1:5">
      <c r="A15" s="89"/>
      <c r="B15" s="90" t="s">
        <v>94</v>
      </c>
      <c r="C15" s="91">
        <v>0.6</v>
      </c>
      <c r="D15" s="92" t="s">
        <v>90</v>
      </c>
      <c r="E15" s="83"/>
    </row>
    <row r="16" spans="1:5">
      <c r="A16" s="83"/>
      <c r="B16" s="94"/>
      <c r="C16" s="95"/>
      <c r="D16" s="92"/>
      <c r="E16" s="87"/>
    </row>
    <row r="17" spans="1:5">
      <c r="A17" s="89"/>
      <c r="B17" s="90" t="s">
        <v>95</v>
      </c>
      <c r="C17" s="91">
        <v>7</v>
      </c>
      <c r="D17" s="92" t="s">
        <v>90</v>
      </c>
      <c r="E17" s="83"/>
    </row>
    <row r="18" spans="1:5">
      <c r="A18" s="83"/>
      <c r="B18" s="83"/>
      <c r="C18" s="93"/>
      <c r="D18" s="93"/>
      <c r="E18" s="83"/>
    </row>
    <row r="19" spans="1:5">
      <c r="A19" s="82" t="s">
        <v>96</v>
      </c>
      <c r="B19" s="82"/>
      <c r="C19" s="82"/>
      <c r="D19" s="82"/>
      <c r="E19" s="83"/>
    </row>
    <row r="20" spans="1:5">
      <c r="A20" s="87"/>
      <c r="B20" s="87"/>
      <c r="C20" s="88"/>
      <c r="D20" s="88"/>
      <c r="E20" s="83"/>
    </row>
    <row r="21" spans="1:5">
      <c r="A21" s="89"/>
      <c r="B21" s="96" t="s">
        <v>97</v>
      </c>
      <c r="C21" s="97">
        <f>C22+C23+C24+C25</f>
        <v>8.65</v>
      </c>
      <c r="D21" s="98" t="s">
        <v>90</v>
      </c>
      <c r="E21" s="83"/>
    </row>
    <row r="22" spans="1:5">
      <c r="A22" s="83"/>
      <c r="B22" s="99" t="s">
        <v>98</v>
      </c>
      <c r="C22" s="91">
        <v>5</v>
      </c>
      <c r="D22" s="92" t="s">
        <v>90</v>
      </c>
      <c r="E22" s="83"/>
    </row>
    <row r="23" spans="1:5">
      <c r="A23" s="83"/>
      <c r="B23" s="99" t="s">
        <v>99</v>
      </c>
      <c r="C23" s="95">
        <v>3</v>
      </c>
      <c r="D23" s="95" t="s">
        <v>90</v>
      </c>
      <c r="E23" s="83"/>
    </row>
    <row r="24" spans="1:5">
      <c r="A24" s="83"/>
      <c r="B24" s="99" t="s">
        <v>100</v>
      </c>
      <c r="C24" s="95">
        <v>0.65</v>
      </c>
      <c r="D24" s="95" t="s">
        <v>90</v>
      </c>
      <c r="E24" s="83"/>
    </row>
    <row r="25" spans="1:5">
      <c r="A25" s="83"/>
      <c r="B25" s="99" t="s">
        <v>101</v>
      </c>
      <c r="C25" s="95">
        <f>IF(B7="Com Desoneração",4.5,0)</f>
        <v>0</v>
      </c>
      <c r="D25" s="92" t="s">
        <v>90</v>
      </c>
      <c r="E25" s="87"/>
    </row>
    <row r="26" spans="1:5">
      <c r="A26" s="83"/>
      <c r="B26" s="83"/>
      <c r="C26" s="93"/>
      <c r="D26" s="93"/>
      <c r="E26" s="83"/>
    </row>
    <row r="27" spans="1:5">
      <c r="A27" s="82" t="s">
        <v>102</v>
      </c>
      <c r="B27" s="82"/>
      <c r="C27" s="82"/>
      <c r="D27" s="82"/>
      <c r="E27" s="83"/>
    </row>
    <row r="28" spans="1:5">
      <c r="A28" s="87"/>
      <c r="B28" s="87"/>
      <c r="C28" s="88"/>
      <c r="D28" s="100"/>
      <c r="E28" s="83"/>
    </row>
    <row r="29" spans="1:5">
      <c r="A29" s="89" t="s">
        <v>103</v>
      </c>
      <c r="B29" s="93" t="s">
        <v>104</v>
      </c>
      <c r="C29" s="101">
        <f>ROUND((((1+($C$11/100)+($C$14/100)+($C$13/100)+($C$12/100))*(1+($C$15/100))*(1+($C$17/100)))/(1-$C$21/100)-1),4)</f>
        <v>0.33250000000000002</v>
      </c>
      <c r="D29" s="102"/>
      <c r="E29" s="83"/>
    </row>
    <row r="30" spans="1:5">
      <c r="A30" s="83"/>
      <c r="B30" s="93" t="s">
        <v>105</v>
      </c>
      <c r="C30" s="103"/>
      <c r="D30" s="104"/>
      <c r="E30" s="83"/>
    </row>
    <row r="31" spans="1:5">
      <c r="A31" s="22"/>
      <c r="B31" s="22"/>
      <c r="C31" s="22"/>
      <c r="D31" s="22"/>
      <c r="E31" s="22"/>
    </row>
    <row r="32" spans="1:5">
      <c r="A32" s="22"/>
      <c r="B32" s="22"/>
      <c r="C32" s="22"/>
      <c r="D32" s="22"/>
      <c r="E32" s="22"/>
    </row>
    <row r="33" spans="1:5">
      <c r="A33" s="22"/>
      <c r="B33" s="22"/>
      <c r="C33" s="22" t="s">
        <v>106</v>
      </c>
      <c r="D33" s="22"/>
      <c r="E33" s="22"/>
    </row>
    <row r="34" spans="1:5">
      <c r="A34" s="22"/>
      <c r="B34" s="22"/>
      <c r="C34" s="22"/>
      <c r="D34" s="22"/>
      <c r="E34" s="22"/>
    </row>
    <row r="35" spans="1:5">
      <c r="A35" s="22"/>
      <c r="B35" s="22"/>
      <c r="C35" s="22"/>
      <c r="D35" s="22"/>
      <c r="E35" s="22"/>
    </row>
    <row r="36" spans="1:5">
      <c r="A36" s="22"/>
      <c r="B36" s="22"/>
      <c r="C36" s="22"/>
      <c r="D36" s="22"/>
      <c r="E36" s="22"/>
    </row>
    <row r="37" spans="1:5">
      <c r="A37" s="22"/>
      <c r="B37" s="22"/>
      <c r="C37" s="22"/>
      <c r="D37" s="22"/>
      <c r="E37" s="22"/>
    </row>
    <row r="38" spans="1:5" ht="14.25">
      <c r="A38" s="36" t="s">
        <v>78</v>
      </c>
      <c r="B38" s="36"/>
      <c r="C38" s="36"/>
      <c r="D38" s="36"/>
      <c r="E38" s="36"/>
    </row>
    <row r="39" spans="1:5" ht="14.25">
      <c r="A39" s="36" t="s">
        <v>79</v>
      </c>
      <c r="B39" s="36"/>
      <c r="C39" s="36"/>
      <c r="D39" s="36"/>
      <c r="E39" s="36"/>
    </row>
    <row r="40" spans="1:5" ht="14.25">
      <c r="A40" s="36" t="s">
        <v>80</v>
      </c>
      <c r="B40" s="36"/>
      <c r="C40" s="36"/>
      <c r="D40" s="36"/>
      <c r="E40" s="36"/>
    </row>
  </sheetData>
  <protectedRanges>
    <protectedRange sqref="C11:C15" name="Intervalo1"/>
    <protectedRange sqref="C16:C17 C22:C25" name="Intervalo2"/>
  </protectedRanges>
  <mergeCells count="10">
    <mergeCell ref="C29:D30"/>
    <mergeCell ref="A38:E38"/>
    <mergeCell ref="A39:E39"/>
    <mergeCell ref="A40:E40"/>
    <mergeCell ref="A1:D1"/>
    <mergeCell ref="B4:D4"/>
    <mergeCell ref="A6:D6"/>
    <mergeCell ref="B7:D7"/>
    <mergeCell ref="A19:D19"/>
    <mergeCell ref="A27:D27"/>
  </mergeCells>
  <dataValidations count="1">
    <dataValidation type="list" allowBlank="1" showInputMessage="1" showErrorMessage="1" sqref="B7:D7" xr:uid="{13C4554B-EAC0-4A2B-B2FB-C8D46740BF3F}">
      <formula1>"Com Desoneração, Sem Desoneração"</formula1>
    </dataValidation>
  </dataValidations>
  <pageMargins left="0.511811024" right="0.511811024" top="0.78740157499999996" bottom="0.78740157499999996" header="0.31496062000000002" footer="0.31496062000000002"/>
  <pageSetup paperSize="9" scale="8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51E0-420A-4536-9B1D-10328AB8505D}">
  <dimension ref="A1:I29"/>
  <sheetViews>
    <sheetView tabSelected="1" view="pageBreakPreview" zoomScale="85" zoomScaleNormal="100" zoomScaleSheetLayoutView="85" workbookViewId="0">
      <selection activeCell="C45" sqref="C45"/>
    </sheetView>
  </sheetViews>
  <sheetFormatPr defaultRowHeight="12.75"/>
  <cols>
    <col min="1" max="1" width="23" customWidth="1"/>
    <col min="2" max="2" width="47.1640625" customWidth="1"/>
    <col min="3" max="3" width="17.6640625" bestFit="1" customWidth="1"/>
    <col min="4" max="4" width="10.5" bestFit="1" customWidth="1"/>
    <col min="5" max="5" width="13" bestFit="1" customWidth="1"/>
    <col min="6" max="6" width="9.5" bestFit="1" customWidth="1"/>
    <col min="7" max="7" width="13" bestFit="1" customWidth="1"/>
    <col min="8" max="8" width="9.5" bestFit="1" customWidth="1"/>
  </cols>
  <sheetData>
    <row r="1" spans="1:9" ht="78" customHeight="1">
      <c r="A1" s="107"/>
      <c r="B1" s="108" t="s">
        <v>108</v>
      </c>
      <c r="C1" s="109"/>
      <c r="D1" s="109"/>
      <c r="E1" s="109"/>
      <c r="F1" s="109"/>
      <c r="G1" s="109"/>
      <c r="H1" s="109"/>
      <c r="I1" s="110"/>
    </row>
    <row r="2" spans="1:9" ht="29.25" customHeight="1">
      <c r="A2" s="111" t="s">
        <v>109</v>
      </c>
      <c r="B2" s="112"/>
      <c r="C2" s="112"/>
      <c r="D2" s="112"/>
      <c r="E2" s="112"/>
      <c r="F2" s="112"/>
      <c r="G2" s="112"/>
      <c r="H2" s="112"/>
      <c r="I2" s="110"/>
    </row>
    <row r="3" spans="1:9" ht="15">
      <c r="A3" s="113" t="s">
        <v>110</v>
      </c>
      <c r="B3" s="114" t="s">
        <v>111</v>
      </c>
      <c r="C3" s="115"/>
      <c r="D3" s="115"/>
      <c r="E3" s="115"/>
      <c r="F3" s="115"/>
      <c r="G3" s="115"/>
      <c r="H3" s="115"/>
      <c r="I3" s="110"/>
    </row>
    <row r="4" spans="1:9" ht="15">
      <c r="A4" s="113" t="s">
        <v>124</v>
      </c>
      <c r="B4" s="116" t="s">
        <v>123</v>
      </c>
      <c r="C4" s="116"/>
      <c r="D4" s="116"/>
      <c r="E4" s="116"/>
      <c r="F4" s="116"/>
      <c r="G4" s="116"/>
      <c r="H4" s="116"/>
      <c r="I4" s="110"/>
    </row>
    <row r="5" spans="1:9" ht="15">
      <c r="A5" s="117" t="s">
        <v>125</v>
      </c>
      <c r="B5" s="116" t="s">
        <v>126</v>
      </c>
      <c r="C5" s="116"/>
      <c r="D5" s="116"/>
      <c r="E5" s="116"/>
      <c r="F5" s="116"/>
      <c r="G5" s="116"/>
      <c r="H5" s="116"/>
      <c r="I5" s="110"/>
    </row>
    <row r="6" spans="1:9" ht="15">
      <c r="A6" s="113" t="s">
        <v>127</v>
      </c>
      <c r="B6" s="118">
        <v>46136</v>
      </c>
      <c r="C6" s="116"/>
      <c r="D6" s="116"/>
      <c r="E6" s="116"/>
      <c r="F6" s="116"/>
      <c r="G6" s="116"/>
      <c r="H6" s="116"/>
      <c r="I6" s="110"/>
    </row>
    <row r="7" spans="1:9">
      <c r="A7" s="119" t="s">
        <v>112</v>
      </c>
      <c r="B7" s="119"/>
      <c r="C7" s="119"/>
      <c r="D7" s="119"/>
      <c r="E7" s="119"/>
      <c r="F7" s="119"/>
      <c r="G7" s="119"/>
      <c r="H7" s="119"/>
      <c r="I7" s="110"/>
    </row>
    <row r="8" spans="1:9">
      <c r="A8" s="120" t="s">
        <v>113</v>
      </c>
      <c r="B8" s="121" t="s">
        <v>114</v>
      </c>
      <c r="C8" s="120" t="s">
        <v>115</v>
      </c>
      <c r="D8" s="120"/>
      <c r="E8" s="122">
        <v>1</v>
      </c>
      <c r="F8" s="122"/>
      <c r="G8" s="122">
        <v>2</v>
      </c>
      <c r="H8" s="122"/>
      <c r="I8" s="110"/>
    </row>
    <row r="9" spans="1:9">
      <c r="A9" s="120"/>
      <c r="B9" s="123" t="s">
        <v>116</v>
      </c>
      <c r="C9" s="124" t="s">
        <v>117</v>
      </c>
      <c r="D9" s="121" t="s">
        <v>118</v>
      </c>
      <c r="E9" s="124" t="s">
        <v>117</v>
      </c>
      <c r="F9" s="121" t="s">
        <v>118</v>
      </c>
      <c r="G9" s="124" t="s">
        <v>117</v>
      </c>
      <c r="H9" s="121" t="s">
        <v>118</v>
      </c>
      <c r="I9" s="110"/>
    </row>
    <row r="10" spans="1:9">
      <c r="A10" s="125">
        <v>1</v>
      </c>
      <c r="B10" s="126" t="s">
        <v>121</v>
      </c>
      <c r="C10" s="127">
        <f>'PLANILHA ORÇAMENTÁRIA'!J12</f>
        <v>5974.8845519999995</v>
      </c>
      <c r="D10" s="128">
        <f>C10/$C$15</f>
        <v>1.4625468060027833E-2</v>
      </c>
      <c r="E10" s="127">
        <f>F10*C10</f>
        <v>5974.8845519999995</v>
      </c>
      <c r="F10" s="129">
        <v>1</v>
      </c>
      <c r="G10" s="127"/>
      <c r="H10" s="129"/>
      <c r="I10" s="130"/>
    </row>
    <row r="11" spans="1:9">
      <c r="A11" s="125">
        <v>2</v>
      </c>
      <c r="B11" s="126" t="s">
        <v>46</v>
      </c>
      <c r="C11" s="127">
        <f>'PLANILHA ORÇAMENTÁRIA'!J21</f>
        <v>21853.0226</v>
      </c>
      <c r="D11" s="128">
        <f t="shared" ref="D11:D14" si="0">C11/$C$15</f>
        <v>5.3492361445608469E-2</v>
      </c>
      <c r="E11" s="127">
        <f t="shared" ref="E11:E14" si="1">F11*C11</f>
        <v>13111.813560000001</v>
      </c>
      <c r="F11" s="129">
        <v>0.6</v>
      </c>
      <c r="G11" s="127">
        <f>H11*C11</f>
        <v>8741.2090399999997</v>
      </c>
      <c r="H11" s="129">
        <v>0.4</v>
      </c>
      <c r="I11" s="130"/>
    </row>
    <row r="12" spans="1:9">
      <c r="A12" s="125">
        <v>3</v>
      </c>
      <c r="B12" s="126" t="s">
        <v>48</v>
      </c>
      <c r="C12" s="127">
        <f>'PLANILHA ORÇAMENTÁRIA'!J28</f>
        <v>13476.3065609</v>
      </c>
      <c r="D12" s="128">
        <f t="shared" si="0"/>
        <v>3.2987631720450772E-2</v>
      </c>
      <c r="E12" s="127">
        <f t="shared" si="1"/>
        <v>13476.3065609</v>
      </c>
      <c r="F12" s="129">
        <v>1</v>
      </c>
      <c r="G12" s="127"/>
      <c r="H12" s="129"/>
      <c r="I12" s="130"/>
    </row>
    <row r="13" spans="1:9">
      <c r="A13" s="125">
        <v>4</v>
      </c>
      <c r="B13" s="126" t="s">
        <v>51</v>
      </c>
      <c r="C13" s="127">
        <f>'PLANILHA ORÇAMENTÁRIA'!J36</f>
        <v>7847.9010800000005</v>
      </c>
      <c r="D13" s="128">
        <f t="shared" si="0"/>
        <v>1.921028357700692E-2</v>
      </c>
      <c r="E13" s="127">
        <f t="shared" si="1"/>
        <v>7847.9010800000005</v>
      </c>
      <c r="F13" s="129">
        <v>1</v>
      </c>
      <c r="G13" s="127"/>
      <c r="H13" s="129"/>
      <c r="I13" s="130"/>
    </row>
    <row r="14" spans="1:9">
      <c r="A14" s="125">
        <v>5</v>
      </c>
      <c r="B14" s="126" t="s">
        <v>122</v>
      </c>
      <c r="C14" s="127">
        <f>'PLANILHA ORÇAMENTÁRIA'!J56</f>
        <v>359373.92536369991</v>
      </c>
      <c r="D14" s="128">
        <f t="shared" si="0"/>
        <v>0.87968425519690607</v>
      </c>
      <c r="E14" s="127">
        <f t="shared" si="1"/>
        <v>179686.96268184995</v>
      </c>
      <c r="F14" s="129">
        <v>0.5</v>
      </c>
      <c r="G14" s="127">
        <f>H14*C14</f>
        <v>179686.96268184995</v>
      </c>
      <c r="H14" s="129">
        <v>0.5</v>
      </c>
      <c r="I14" s="130"/>
    </row>
    <row r="15" spans="1:9">
      <c r="A15" s="131" t="s">
        <v>119</v>
      </c>
      <c r="B15" s="131"/>
      <c r="C15" s="132">
        <f>SUM(C10:C14)</f>
        <v>408526.04015659989</v>
      </c>
      <c r="D15" s="133">
        <f>SUM(D10:D14)</f>
        <v>1</v>
      </c>
      <c r="E15" s="134">
        <f>SUM(E10:E14)</f>
        <v>220097.86843474995</v>
      </c>
      <c r="F15" s="135">
        <f>IFERROR(E15/$C$15,0)</f>
        <v>0.53876092782330365</v>
      </c>
      <c r="G15" s="134">
        <f>SUM(G10:G14)</f>
        <v>188428.17172184994</v>
      </c>
      <c r="H15" s="135">
        <f>IFERROR(G15/$C$15,0)</f>
        <v>0.46123907217669635</v>
      </c>
      <c r="I15" s="130"/>
    </row>
    <row r="16" spans="1:9">
      <c r="A16" s="131" t="s">
        <v>120</v>
      </c>
      <c r="B16" s="131"/>
      <c r="C16" s="136">
        <f>C15</f>
        <v>408526.04015659989</v>
      </c>
      <c r="D16" s="133">
        <f>D15</f>
        <v>1</v>
      </c>
      <c r="E16" s="137">
        <f>E15</f>
        <v>220097.86843474995</v>
      </c>
      <c r="F16" s="138">
        <f>F15</f>
        <v>0.53876092782330365</v>
      </c>
      <c r="G16" s="137">
        <f t="shared" ref="G16:H16" si="2">E16+G15</f>
        <v>408526.04015659989</v>
      </c>
      <c r="H16" s="138">
        <f t="shared" si="2"/>
        <v>1</v>
      </c>
      <c r="I16" s="110"/>
    </row>
    <row r="17" spans="1:9">
      <c r="A17" s="139"/>
      <c r="B17" s="140"/>
      <c r="C17" s="140"/>
      <c r="D17" s="140"/>
      <c r="E17" s="140"/>
      <c r="F17" s="140"/>
      <c r="G17" s="140"/>
      <c r="H17" s="140"/>
      <c r="I17" s="110"/>
    </row>
    <row r="18" spans="1:9" ht="15">
      <c r="A18" s="141"/>
      <c r="B18" s="141"/>
      <c r="C18" s="141"/>
      <c r="D18" s="150" t="s">
        <v>106</v>
      </c>
      <c r="E18" s="141"/>
      <c r="F18" s="143"/>
      <c r="G18" s="144"/>
      <c r="I18" s="150"/>
    </row>
    <row r="19" spans="1:9" ht="14.25">
      <c r="A19" s="141"/>
      <c r="B19" s="141"/>
      <c r="C19" s="141"/>
      <c r="D19" s="142"/>
      <c r="E19" s="141"/>
      <c r="F19" s="143"/>
      <c r="G19" s="144"/>
      <c r="H19" s="145"/>
      <c r="I19" s="146"/>
    </row>
    <row r="20" spans="1:9" ht="14.25">
      <c r="A20" s="141"/>
      <c r="B20" s="141"/>
      <c r="C20" s="141"/>
      <c r="D20" s="142"/>
      <c r="E20" s="141"/>
      <c r="F20" s="143"/>
      <c r="G20" s="144"/>
      <c r="H20" s="145"/>
      <c r="I20" s="146"/>
    </row>
    <row r="21" spans="1:9" ht="14.25">
      <c r="A21" s="141"/>
      <c r="B21" s="141"/>
      <c r="C21" s="141"/>
      <c r="D21" s="142"/>
      <c r="E21" s="141"/>
      <c r="F21" s="143"/>
      <c r="G21" s="144"/>
      <c r="H21" s="145"/>
      <c r="I21" s="146"/>
    </row>
    <row r="22" spans="1:9" ht="14.25">
      <c r="A22" s="141"/>
      <c r="B22" s="141"/>
      <c r="C22" s="141"/>
      <c r="D22" s="142"/>
      <c r="E22" s="141"/>
      <c r="F22" s="143"/>
      <c r="G22" s="144"/>
      <c r="H22" s="145"/>
      <c r="I22" s="146"/>
    </row>
    <row r="23" spans="1:9" ht="14.25">
      <c r="A23" s="36" t="s">
        <v>78</v>
      </c>
      <c r="B23" s="36"/>
      <c r="C23" s="36"/>
      <c r="D23" s="36"/>
      <c r="E23" s="36"/>
      <c r="F23" s="36"/>
      <c r="G23" s="36"/>
      <c r="H23" s="36"/>
      <c r="I23" s="146"/>
    </row>
    <row r="24" spans="1:9" ht="15">
      <c r="A24" s="36" t="s">
        <v>79</v>
      </c>
      <c r="B24" s="36"/>
      <c r="C24" s="36"/>
      <c r="D24" s="36"/>
      <c r="E24" s="36"/>
      <c r="F24" s="36"/>
      <c r="G24" s="36"/>
      <c r="H24" s="36"/>
      <c r="I24" s="151"/>
    </row>
    <row r="25" spans="1:9" ht="15.75">
      <c r="A25" s="36" t="s">
        <v>80</v>
      </c>
      <c r="B25" s="36"/>
      <c r="C25" s="36"/>
      <c r="D25" s="36"/>
      <c r="E25" s="36"/>
      <c r="F25" s="36"/>
      <c r="G25" s="36"/>
      <c r="H25" s="36"/>
      <c r="I25" s="152"/>
    </row>
    <row r="26" spans="1:9" ht="15">
      <c r="A26" s="36" t="s">
        <v>83</v>
      </c>
      <c r="B26" s="36"/>
      <c r="C26" s="36"/>
      <c r="D26" s="36"/>
      <c r="E26" s="36"/>
      <c r="F26" s="36"/>
      <c r="G26" s="36"/>
      <c r="H26" s="36"/>
      <c r="I26" s="151"/>
    </row>
    <row r="27" spans="1:9" ht="15">
      <c r="A27" s="151"/>
      <c r="B27" s="151"/>
      <c r="C27" s="151"/>
      <c r="D27" s="151"/>
      <c r="E27" s="151"/>
      <c r="F27" s="151"/>
      <c r="G27" s="151"/>
      <c r="H27" s="151"/>
      <c r="I27" s="151"/>
    </row>
    <row r="28" spans="1:9" ht="14.25">
      <c r="A28" s="147"/>
      <c r="B28" s="146"/>
      <c r="C28" s="146"/>
      <c r="D28" s="148"/>
      <c r="E28" s="146"/>
      <c r="F28" s="146"/>
      <c r="G28" s="146"/>
      <c r="H28" s="146"/>
      <c r="I28" s="146"/>
    </row>
    <row r="29" spans="1:9">
      <c r="A29" s="139"/>
      <c r="B29" s="140"/>
      <c r="C29" s="140"/>
      <c r="D29" s="140"/>
      <c r="E29" s="140"/>
      <c r="F29" s="140"/>
      <c r="G29" s="140"/>
      <c r="H29" s="140"/>
      <c r="I29" s="110"/>
    </row>
  </sheetData>
  <mergeCells count="17">
    <mergeCell ref="A23:H23"/>
    <mergeCell ref="A24:H24"/>
    <mergeCell ref="A25:H25"/>
    <mergeCell ref="A26:H26"/>
    <mergeCell ref="A15:B15"/>
    <mergeCell ref="A16:B16"/>
    <mergeCell ref="A7:H7"/>
    <mergeCell ref="A8:A9"/>
    <mergeCell ref="C8:D8"/>
    <mergeCell ref="E8:F8"/>
    <mergeCell ref="G8:H8"/>
    <mergeCell ref="B1:H1"/>
    <mergeCell ref="A2:H2"/>
    <mergeCell ref="B3:H3"/>
    <mergeCell ref="B4:H4"/>
    <mergeCell ref="B5:H5"/>
    <mergeCell ref="B6:H6"/>
  </mergeCells>
  <pageMargins left="0.511811024" right="0.511811024" top="0.78740157499999996" bottom="0.78740157499999996" header="0.31496062000000002" footer="0.31496062000000002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view="pageBreakPreview" zoomScaleNormal="100" zoomScaleSheetLayoutView="100" workbookViewId="0">
      <selection activeCell="A14" sqref="A14:H17"/>
    </sheetView>
  </sheetViews>
  <sheetFormatPr defaultRowHeight="12.75"/>
  <cols>
    <col min="1" max="1" width="52.33203125" bestFit="1" customWidth="1"/>
    <col min="2" max="3" width="10" bestFit="1" customWidth="1"/>
    <col min="5" max="6" width="10" bestFit="1" customWidth="1"/>
    <col min="7" max="7" width="6.5" bestFit="1" customWidth="1"/>
  </cols>
  <sheetData>
    <row r="1" spans="1:11" ht="27.75">
      <c r="A1" s="66" t="s">
        <v>73</v>
      </c>
      <c r="B1" s="66"/>
      <c r="C1" s="66"/>
      <c r="D1" s="66"/>
      <c r="E1" s="66"/>
      <c r="F1" s="66"/>
      <c r="G1" s="66"/>
      <c r="H1" s="66"/>
    </row>
    <row r="2" spans="1:11">
      <c r="A2" s="67"/>
      <c r="B2" s="68"/>
      <c r="C2" s="68"/>
      <c r="D2" s="68"/>
      <c r="E2" s="68"/>
      <c r="F2" s="68"/>
      <c r="G2" s="68"/>
      <c r="H2" s="68"/>
    </row>
    <row r="3" spans="1:11" ht="15">
      <c r="A3" s="13"/>
      <c r="B3" s="14"/>
      <c r="C3" s="14"/>
      <c r="D3" s="15"/>
      <c r="E3" s="69" t="s">
        <v>81</v>
      </c>
      <c r="F3" s="69"/>
      <c r="G3" s="69"/>
      <c r="H3" s="16"/>
    </row>
    <row r="4" spans="1:11" ht="15">
      <c r="A4" s="13"/>
      <c r="B4" s="14"/>
      <c r="C4" s="14"/>
      <c r="D4" s="15"/>
      <c r="E4" s="17" t="s">
        <v>74</v>
      </c>
      <c r="F4" s="17" t="s">
        <v>75</v>
      </c>
      <c r="G4" s="70" t="s">
        <v>76</v>
      </c>
      <c r="H4" s="14"/>
    </row>
    <row r="5" spans="1:11">
      <c r="A5" s="71" t="s">
        <v>77</v>
      </c>
      <c r="B5" s="18">
        <v>45658</v>
      </c>
      <c r="C5" s="18">
        <v>45992</v>
      </c>
      <c r="D5" s="15"/>
      <c r="E5" s="19">
        <f>B5</f>
        <v>45658</v>
      </c>
      <c r="F5" s="19">
        <f>C5</f>
        <v>45992</v>
      </c>
      <c r="G5" s="70"/>
      <c r="H5" s="14"/>
    </row>
    <row r="6" spans="1:11">
      <c r="A6" s="71"/>
      <c r="B6" s="20">
        <v>1169.116</v>
      </c>
      <c r="C6" s="20">
        <v>1228.1610000000001</v>
      </c>
      <c r="D6" s="15"/>
      <c r="E6" s="20">
        <f>B6</f>
        <v>1169.116</v>
      </c>
      <c r="F6" s="20">
        <f>C6</f>
        <v>1228.1610000000001</v>
      </c>
      <c r="G6" s="20">
        <f>ROUND((1+(F6-E6)/E6),3)</f>
        <v>1.0509999999999999</v>
      </c>
      <c r="H6" s="21"/>
    </row>
    <row r="7" spans="1:11">
      <c r="A7" s="22"/>
      <c r="B7" s="22"/>
      <c r="C7" s="22"/>
      <c r="D7" s="22"/>
      <c r="E7" s="22"/>
      <c r="F7" s="22"/>
      <c r="G7" s="22"/>
      <c r="H7" s="22"/>
    </row>
    <row r="8" spans="1:11" ht="15">
      <c r="A8" s="23"/>
      <c r="B8" s="24"/>
      <c r="C8" s="22"/>
      <c r="D8" s="72"/>
      <c r="E8" s="72"/>
      <c r="F8" s="72"/>
      <c r="G8" s="72"/>
      <c r="H8" s="72"/>
    </row>
    <row r="9" spans="1:11" ht="15">
      <c r="A9" s="23"/>
      <c r="B9" s="23"/>
      <c r="C9" s="25"/>
      <c r="D9" s="36" t="s">
        <v>82</v>
      </c>
      <c r="E9" s="36"/>
      <c r="F9" s="36"/>
      <c r="G9" s="36"/>
      <c r="H9" s="36"/>
      <c r="I9" s="29"/>
      <c r="J9" s="29"/>
      <c r="K9" s="29"/>
    </row>
    <row r="10" spans="1:11" ht="15">
      <c r="A10" s="23"/>
      <c r="B10" s="23"/>
      <c r="C10" s="25"/>
      <c r="D10" s="22"/>
      <c r="E10" s="22"/>
      <c r="F10" s="22"/>
      <c r="G10" s="22"/>
      <c r="H10" s="22"/>
    </row>
    <row r="11" spans="1:11" ht="15">
      <c r="A11" s="23"/>
      <c r="B11" s="23"/>
      <c r="C11" s="25"/>
      <c r="D11" s="22"/>
      <c r="E11" s="22"/>
      <c r="F11" s="22"/>
      <c r="G11" s="22"/>
      <c r="H11" s="22"/>
    </row>
    <row r="12" spans="1:11" ht="15">
      <c r="A12" s="23"/>
      <c r="B12" s="23"/>
      <c r="C12" s="25"/>
      <c r="D12" s="22"/>
      <c r="E12" s="22"/>
      <c r="F12" s="22"/>
      <c r="G12" s="22"/>
      <c r="H12" s="22"/>
    </row>
    <row r="13" spans="1:11" ht="14.25">
      <c r="A13" s="26"/>
      <c r="B13" s="26"/>
      <c r="C13" s="25"/>
      <c r="D13" s="22"/>
      <c r="E13" s="22"/>
      <c r="F13" s="22"/>
      <c r="G13" s="22"/>
      <c r="H13" s="22"/>
    </row>
    <row r="14" spans="1:11" ht="14.25">
      <c r="A14" s="36" t="s">
        <v>78</v>
      </c>
      <c r="B14" s="36"/>
      <c r="C14" s="36"/>
      <c r="D14" s="36"/>
      <c r="E14" s="36"/>
      <c r="F14" s="36"/>
      <c r="G14" s="36"/>
      <c r="H14" s="36"/>
    </row>
    <row r="15" spans="1:11" ht="14.25">
      <c r="A15" s="36" t="s">
        <v>79</v>
      </c>
      <c r="B15" s="36"/>
      <c r="C15" s="36"/>
      <c r="D15" s="36"/>
      <c r="E15" s="36"/>
      <c r="F15" s="36"/>
      <c r="G15" s="36"/>
      <c r="H15" s="36"/>
    </row>
    <row r="16" spans="1:11" ht="14.25">
      <c r="A16" s="36" t="s">
        <v>80</v>
      </c>
      <c r="B16" s="36"/>
      <c r="C16" s="36"/>
      <c r="D16" s="36"/>
      <c r="E16" s="36"/>
      <c r="F16" s="36"/>
      <c r="G16" s="36"/>
      <c r="H16" s="36"/>
    </row>
    <row r="17" spans="1:8" ht="14.25">
      <c r="A17" s="36" t="s">
        <v>83</v>
      </c>
      <c r="B17" s="36"/>
      <c r="C17" s="36"/>
      <c r="D17" s="36"/>
      <c r="E17" s="36"/>
      <c r="F17" s="36"/>
      <c r="G17" s="36"/>
      <c r="H17" s="36"/>
    </row>
  </sheetData>
  <mergeCells count="11">
    <mergeCell ref="D8:H8"/>
    <mergeCell ref="A1:H1"/>
    <mergeCell ref="A2:H2"/>
    <mergeCell ref="E3:G3"/>
    <mergeCell ref="G4:G5"/>
    <mergeCell ref="A5:A6"/>
    <mergeCell ref="A16:H16"/>
    <mergeCell ref="D9:H9"/>
    <mergeCell ref="A14:H14"/>
    <mergeCell ref="A15:H15"/>
    <mergeCell ref="A17:H17"/>
  </mergeCells>
  <pageMargins left="0.511811024" right="0.511811024" top="0.78740157499999996" bottom="0.78740157499999996" header="0.31496062000000002" footer="0.3149606200000000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PLANILHA ORÇAMENTÁRIA</vt:lpstr>
      <vt:lpstr>COMPOSIÇÃO DO BDI</vt:lpstr>
      <vt:lpstr>CRONOGRAMA</vt:lpstr>
      <vt:lpstr>REAJUSTE</vt:lpstr>
      <vt:lpstr>'COMPOSIÇÃO DO BDI'!Area_de_impressao</vt:lpstr>
      <vt:lpstr>CRONOGRAMA!Area_de_impressao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Wendrio</dc:creator>
  <cp:lastModifiedBy>User</cp:lastModifiedBy>
  <cp:lastPrinted>2026-04-24T16:32:18Z</cp:lastPrinted>
  <dcterms:created xsi:type="dcterms:W3CDTF">2026-01-11T18:07:49Z</dcterms:created>
  <dcterms:modified xsi:type="dcterms:W3CDTF">2026-04-24T16:32:21Z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JasperReports (relPlanOrcamTodas)</vt:lpwstr>
  </property>
  <property fmtid="{D5CDD505-2E9C-101B-9397-08002B2CF9AE}" pid="4" name="LastSaved">
    <vt:filetime>2026-01-11T00:00:00Z</vt:filetime>
  </property>
  <property fmtid="{D5CDD505-2E9C-101B-9397-08002B2CF9AE}" pid="5" name="Producer">
    <vt:lpwstr>iText 2.1.7 by 1T3XT</vt:lpwstr>
  </property>
</Properties>
</file>